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720" yWindow="330" windowWidth="15480" windowHeight="9750"/>
  </bookViews>
  <sheets>
    <sheet name="Список" sheetId="1" r:id="rId1"/>
    <sheet name="Свод" sheetId="2" r:id="rId2"/>
  </sheets>
  <calcPr calcId="125725"/>
</workbook>
</file>

<file path=xl/calcChain.xml><?xml version="1.0" encoding="utf-8"?>
<calcChain xmlns="http://schemas.openxmlformats.org/spreadsheetml/2006/main">
  <c r="R58" i="1"/>
  <c r="AP91"/>
  <c r="AO91"/>
  <c r="AP53"/>
  <c r="AO53"/>
  <c r="A53"/>
  <c r="B53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AG53"/>
  <c r="AH53"/>
  <c r="AI53"/>
  <c r="AJ53"/>
  <c r="AK53"/>
  <c r="AL53"/>
  <c r="AM53"/>
  <c r="AR53"/>
  <c r="AS53"/>
  <c r="AT53"/>
  <c r="AU53"/>
  <c r="AV53"/>
  <c r="AW53"/>
  <c r="AX53"/>
  <c r="AY53"/>
  <c r="AZ53"/>
  <c r="BA53"/>
  <c r="BB53"/>
  <c r="BC53"/>
  <c r="BD53"/>
  <c r="BE53"/>
  <c r="BF53"/>
  <c r="BG53"/>
  <c r="BH53"/>
  <c r="BI53"/>
  <c r="BJ53"/>
  <c r="BK53"/>
  <c r="BL53"/>
  <c r="BM53"/>
  <c r="BN53"/>
  <c r="BO53"/>
  <c r="BP53"/>
  <c r="BQ53"/>
  <c r="BR53"/>
  <c r="BS53"/>
  <c r="AP78"/>
  <c r="AO78"/>
  <c r="AP84"/>
  <c r="AO84"/>
  <c r="AP44"/>
  <c r="AO44"/>
  <c r="AP38"/>
  <c r="AO38"/>
  <c r="A4" i="2"/>
  <c r="BS161" i="1"/>
  <c r="BR161"/>
  <c r="BQ161"/>
  <c r="BP161"/>
  <c r="BO161"/>
  <c r="BN161"/>
  <c r="BM161"/>
  <c r="BL161"/>
  <c r="BK161"/>
  <c r="BJ161"/>
  <c r="BI161"/>
  <c r="BH161"/>
  <c r="BG161"/>
  <c r="BF161"/>
  <c r="BE161"/>
  <c r="BD161"/>
  <c r="BC161"/>
  <c r="BB161"/>
  <c r="BA161"/>
  <c r="AZ161"/>
  <c r="AY161"/>
  <c r="AX161"/>
  <c r="AW161"/>
  <c r="AV161"/>
  <c r="AU161"/>
  <c r="AT161"/>
  <c r="AS161"/>
  <c r="AR161"/>
  <c r="AQ161"/>
  <c r="AP161"/>
  <c r="AO161"/>
  <c r="AN161"/>
  <c r="AM161"/>
  <c r="AL161"/>
  <c r="AK161"/>
  <c r="AJ161"/>
  <c r="AI161"/>
  <c r="AH161"/>
  <c r="AG161"/>
  <c r="AF161"/>
  <c r="AE161"/>
  <c r="AD161"/>
  <c r="AC161"/>
  <c r="AB161"/>
  <c r="AA161"/>
  <c r="Z161"/>
  <c r="Y161"/>
  <c r="X161"/>
  <c r="W161"/>
  <c r="V161"/>
  <c r="U161"/>
  <c r="T161"/>
  <c r="S161"/>
  <c r="R161"/>
  <c r="Q161"/>
  <c r="P161"/>
  <c r="O161"/>
  <c r="N161"/>
  <c r="M161"/>
  <c r="L161"/>
  <c r="K161"/>
  <c r="J161"/>
  <c r="I161"/>
  <c r="H161"/>
  <c r="G161"/>
  <c r="F161"/>
  <c r="E161"/>
  <c r="D161"/>
  <c r="C161"/>
  <c r="B161"/>
  <c r="A161"/>
  <c r="BS160"/>
  <c r="BR160"/>
  <c r="BQ160"/>
  <c r="BP160"/>
  <c r="BO160"/>
  <c r="BN160"/>
  <c r="BM160"/>
  <c r="BL160"/>
  <c r="BK160"/>
  <c r="BJ160"/>
  <c r="BI160"/>
  <c r="BH160"/>
  <c r="BG160"/>
  <c r="BF160"/>
  <c r="BE160"/>
  <c r="BD160"/>
  <c r="BC160"/>
  <c r="BB160"/>
  <c r="BA160"/>
  <c r="AZ160"/>
  <c r="AY160"/>
  <c r="AX160"/>
  <c r="AW160"/>
  <c r="AV160"/>
  <c r="AU160"/>
  <c r="AT160"/>
  <c r="AS160"/>
  <c r="AR160"/>
  <c r="AQ160"/>
  <c r="AP160"/>
  <c r="AO160"/>
  <c r="AN160"/>
  <c r="AM160"/>
  <c r="AL160"/>
  <c r="AK160"/>
  <c r="AJ160"/>
  <c r="AI160"/>
  <c r="AH160"/>
  <c r="AG160"/>
  <c r="AF160"/>
  <c r="AE160"/>
  <c r="AD160"/>
  <c r="AC160"/>
  <c r="AB160"/>
  <c r="AA160"/>
  <c r="Z160"/>
  <c r="Y160"/>
  <c r="X160"/>
  <c r="W160"/>
  <c r="V160"/>
  <c r="U160"/>
  <c r="T160"/>
  <c r="S160"/>
  <c r="R160"/>
  <c r="Q160"/>
  <c r="P160"/>
  <c r="O160"/>
  <c r="N160"/>
  <c r="M160"/>
  <c r="L160"/>
  <c r="K160"/>
  <c r="J160"/>
  <c r="I160"/>
  <c r="H160"/>
  <c r="G160"/>
  <c r="F160"/>
  <c r="E160"/>
  <c r="D160"/>
  <c r="C160"/>
  <c r="B160"/>
  <c r="A160"/>
  <c r="BS159"/>
  <c r="BR159"/>
  <c r="BQ159"/>
  <c r="BP159"/>
  <c r="BO159"/>
  <c r="BN159"/>
  <c r="BM159"/>
  <c r="BL159"/>
  <c r="BK159"/>
  <c r="BJ159"/>
  <c r="BI159"/>
  <c r="BH159"/>
  <c r="BG159"/>
  <c r="BF159"/>
  <c r="BE159"/>
  <c r="BD159"/>
  <c r="BC159"/>
  <c r="BB159"/>
  <c r="BA159"/>
  <c r="AZ159"/>
  <c r="AY159"/>
  <c r="AX159"/>
  <c r="AW159"/>
  <c r="AV159"/>
  <c r="AU159"/>
  <c r="AT159"/>
  <c r="AS159"/>
  <c r="AR159"/>
  <c r="AQ159"/>
  <c r="AP159"/>
  <c r="AO159"/>
  <c r="AN159"/>
  <c r="AM159"/>
  <c r="AL159"/>
  <c r="AK159"/>
  <c r="AJ159"/>
  <c r="AI159"/>
  <c r="AH159"/>
  <c r="AG159"/>
  <c r="AF159"/>
  <c r="AE159"/>
  <c r="AD159"/>
  <c r="AC159"/>
  <c r="AB159"/>
  <c r="AA159"/>
  <c r="Z159"/>
  <c r="Y159"/>
  <c r="X159"/>
  <c r="W159"/>
  <c r="V159"/>
  <c r="U159"/>
  <c r="T159"/>
  <c r="S159"/>
  <c r="R159"/>
  <c r="Q159"/>
  <c r="P159"/>
  <c r="O159"/>
  <c r="N159"/>
  <c r="M159"/>
  <c r="L159"/>
  <c r="K159"/>
  <c r="J159"/>
  <c r="I159"/>
  <c r="H159"/>
  <c r="G159"/>
  <c r="F159"/>
  <c r="E159"/>
  <c r="D159"/>
  <c r="C159"/>
  <c r="B159"/>
  <c r="A159"/>
  <c r="BS158"/>
  <c r="BR158"/>
  <c r="BQ158"/>
  <c r="BP158"/>
  <c r="BO158"/>
  <c r="BN158"/>
  <c r="BM158"/>
  <c r="BL158"/>
  <c r="BK158"/>
  <c r="BJ158"/>
  <c r="BI158"/>
  <c r="BH158"/>
  <c r="BG158"/>
  <c r="BF158"/>
  <c r="BE158"/>
  <c r="BD158"/>
  <c r="BC158"/>
  <c r="BB158"/>
  <c r="BA158"/>
  <c r="AZ158"/>
  <c r="AY158"/>
  <c r="AX158"/>
  <c r="AW158"/>
  <c r="AV158"/>
  <c r="AU158"/>
  <c r="AT158"/>
  <c r="AS158"/>
  <c r="AR158"/>
  <c r="AQ158"/>
  <c r="AP158"/>
  <c r="AO158"/>
  <c r="AN158"/>
  <c r="AM158"/>
  <c r="AL158"/>
  <c r="AK158"/>
  <c r="AJ158"/>
  <c r="AI158"/>
  <c r="AH158"/>
  <c r="AG158"/>
  <c r="AF158"/>
  <c r="AE158"/>
  <c r="AD158"/>
  <c r="AC158"/>
  <c r="AB158"/>
  <c r="AA158"/>
  <c r="Z158"/>
  <c r="Y158"/>
  <c r="X158"/>
  <c r="W158"/>
  <c r="V158"/>
  <c r="U158"/>
  <c r="T158"/>
  <c r="S158"/>
  <c r="R158"/>
  <c r="Q158"/>
  <c r="P158"/>
  <c r="O158"/>
  <c r="N158"/>
  <c r="M158"/>
  <c r="L158"/>
  <c r="K158"/>
  <c r="J158"/>
  <c r="I158"/>
  <c r="H158"/>
  <c r="G158"/>
  <c r="F158"/>
  <c r="E158"/>
  <c r="D158"/>
  <c r="C158"/>
  <c r="B158"/>
  <c r="A158"/>
  <c r="BS157"/>
  <c r="BR157"/>
  <c r="BQ157"/>
  <c r="BP157"/>
  <c r="BO157"/>
  <c r="BN157"/>
  <c r="BM157"/>
  <c r="BL157"/>
  <c r="BK157"/>
  <c r="BJ157"/>
  <c r="BI157"/>
  <c r="BH157"/>
  <c r="BG157"/>
  <c r="BF157"/>
  <c r="BE157"/>
  <c r="BD157"/>
  <c r="BC157"/>
  <c r="BB157"/>
  <c r="BA157"/>
  <c r="AZ157"/>
  <c r="AY157"/>
  <c r="AX157"/>
  <c r="AW157"/>
  <c r="AV157"/>
  <c r="AU157"/>
  <c r="AT157"/>
  <c r="AS157"/>
  <c r="AR157"/>
  <c r="AN157"/>
  <c r="AM157"/>
  <c r="AL157"/>
  <c r="AK157"/>
  <c r="AJ157"/>
  <c r="AI157"/>
  <c r="AH157"/>
  <c r="AG157"/>
  <c r="AF157"/>
  <c r="AE157"/>
  <c r="AD157"/>
  <c r="AC157"/>
  <c r="AB157"/>
  <c r="AA157"/>
  <c r="Z157"/>
  <c r="Y157"/>
  <c r="X157"/>
  <c r="W157"/>
  <c r="V157"/>
  <c r="U157"/>
  <c r="T157"/>
  <c r="S157"/>
  <c r="R157"/>
  <c r="Q157"/>
  <c r="P157"/>
  <c r="O157"/>
  <c r="N157"/>
  <c r="M157"/>
  <c r="L157"/>
  <c r="K157"/>
  <c r="J157"/>
  <c r="I157"/>
  <c r="H157"/>
  <c r="G157"/>
  <c r="F157"/>
  <c r="E157"/>
  <c r="D157"/>
  <c r="C157"/>
  <c r="B157"/>
  <c r="A157"/>
  <c r="BS156"/>
  <c r="BR156"/>
  <c r="BQ156"/>
  <c r="BP156"/>
  <c r="BO156"/>
  <c r="BN156"/>
  <c r="BM156"/>
  <c r="BL156"/>
  <c r="BK156"/>
  <c r="BJ156"/>
  <c r="BI156"/>
  <c r="BH156"/>
  <c r="BG156"/>
  <c r="BF156"/>
  <c r="BE156"/>
  <c r="BD156"/>
  <c r="BC156"/>
  <c r="BB156"/>
  <c r="BA156"/>
  <c r="AZ156"/>
  <c r="AY156"/>
  <c r="AU156"/>
  <c r="AT156"/>
  <c r="AS156"/>
  <c r="AR156"/>
  <c r="AQ156"/>
  <c r="AP156"/>
  <c r="AO156"/>
  <c r="AN156"/>
  <c r="AM156"/>
  <c r="AL156"/>
  <c r="AK156"/>
  <c r="AJ156"/>
  <c r="AI156"/>
  <c r="AH156"/>
  <c r="AG156"/>
  <c r="AF156"/>
  <c r="AE156"/>
  <c r="AD156"/>
  <c r="AC156"/>
  <c r="AB156"/>
  <c r="AA156"/>
  <c r="Z156"/>
  <c r="Y156"/>
  <c r="X156"/>
  <c r="W156"/>
  <c r="V156"/>
  <c r="T156"/>
  <c r="S156"/>
  <c r="R156"/>
  <c r="Q156"/>
  <c r="P156"/>
  <c r="O156"/>
  <c r="N156"/>
  <c r="M156"/>
  <c r="L156"/>
  <c r="K156"/>
  <c r="J156"/>
  <c r="I156"/>
  <c r="H156"/>
  <c r="G156"/>
  <c r="F156"/>
  <c r="E156"/>
  <c r="D156"/>
  <c r="C156"/>
  <c r="B156"/>
  <c r="A156"/>
  <c r="BS155"/>
  <c r="BR155"/>
  <c r="BQ155"/>
  <c r="BP155"/>
  <c r="BO155"/>
  <c r="BN155"/>
  <c r="BM155"/>
  <c r="BL155"/>
  <c r="BK155"/>
  <c r="BJ155"/>
  <c r="BI155"/>
  <c r="BH155"/>
  <c r="BG155"/>
  <c r="BF155"/>
  <c r="BE155"/>
  <c r="BD155"/>
  <c r="BC155"/>
  <c r="BB155"/>
  <c r="BA155"/>
  <c r="AZ155"/>
  <c r="AY155"/>
  <c r="AX155"/>
  <c r="AW155"/>
  <c r="AV155"/>
  <c r="AU155"/>
  <c r="AT155"/>
  <c r="AS155"/>
  <c r="AR155"/>
  <c r="AQ155"/>
  <c r="AP155"/>
  <c r="AO155"/>
  <c r="AN155"/>
  <c r="AM155"/>
  <c r="AL155"/>
  <c r="AK155"/>
  <c r="AJ155"/>
  <c r="AI155"/>
  <c r="AH155"/>
  <c r="AG155"/>
  <c r="AF155"/>
  <c r="AE155"/>
  <c r="AD155"/>
  <c r="AC155"/>
  <c r="AB155"/>
  <c r="AA155"/>
  <c r="Z155"/>
  <c r="Y155"/>
  <c r="X155"/>
  <c r="W155"/>
  <c r="V155"/>
  <c r="U155"/>
  <c r="T155"/>
  <c r="S155"/>
  <c r="R155"/>
  <c r="Q155"/>
  <c r="P155"/>
  <c r="O155"/>
  <c r="N155"/>
  <c r="M155"/>
  <c r="L155"/>
  <c r="K155"/>
  <c r="J155"/>
  <c r="I155"/>
  <c r="H155"/>
  <c r="G155"/>
  <c r="F155"/>
  <c r="E155"/>
  <c r="D155"/>
  <c r="C155"/>
  <c r="B155"/>
  <c r="A155"/>
  <c r="BS154"/>
  <c r="BR154"/>
  <c r="BQ154"/>
  <c r="BP154"/>
  <c r="BO154"/>
  <c r="BN154"/>
  <c r="BM154"/>
  <c r="BL154"/>
  <c r="BK154"/>
  <c r="BJ154"/>
  <c r="BI154"/>
  <c r="BH154"/>
  <c r="BG154"/>
  <c r="BF154"/>
  <c r="BE154"/>
  <c r="BD154"/>
  <c r="BC154"/>
  <c r="BB154"/>
  <c r="BA154"/>
  <c r="AZ154"/>
  <c r="AY154"/>
  <c r="AX154"/>
  <c r="AW154"/>
  <c r="AV154"/>
  <c r="AU154"/>
  <c r="AT154"/>
  <c r="AS154"/>
  <c r="AR154"/>
  <c r="AQ154"/>
  <c r="AP154"/>
  <c r="AO154"/>
  <c r="AN154"/>
  <c r="AM154"/>
  <c r="AL154"/>
  <c r="AK154"/>
  <c r="AJ154"/>
  <c r="AI154"/>
  <c r="AH154"/>
  <c r="AG154"/>
  <c r="AF154"/>
  <c r="AE154"/>
  <c r="AD154"/>
  <c r="AC154"/>
  <c r="AB154"/>
  <c r="AA154"/>
  <c r="Z154"/>
  <c r="Y154"/>
  <c r="X154"/>
  <c r="W154"/>
  <c r="V154"/>
  <c r="U154"/>
  <c r="T154"/>
  <c r="S154"/>
  <c r="R154"/>
  <c r="Q154"/>
  <c r="P154"/>
  <c r="O154"/>
  <c r="N154"/>
  <c r="M154"/>
  <c r="L154"/>
  <c r="K154"/>
  <c r="J154"/>
  <c r="I154"/>
  <c r="H154"/>
  <c r="G154"/>
  <c r="F154"/>
  <c r="E154"/>
  <c r="D154"/>
  <c r="C154"/>
  <c r="B154"/>
  <c r="A154"/>
  <c r="BS153"/>
  <c r="BR153"/>
  <c r="BQ153"/>
  <c r="BP153"/>
  <c r="BO153"/>
  <c r="BN153"/>
  <c r="BM153"/>
  <c r="BL153"/>
  <c r="BK153"/>
  <c r="BJ153"/>
  <c r="BI153"/>
  <c r="BH153"/>
  <c r="BG153"/>
  <c r="BF153"/>
  <c r="BE153"/>
  <c r="BD153"/>
  <c r="BC153"/>
  <c r="BB153"/>
  <c r="BA153"/>
  <c r="AZ153"/>
  <c r="AY153"/>
  <c r="AX153"/>
  <c r="AW153"/>
  <c r="AV153"/>
  <c r="AU153"/>
  <c r="AT153"/>
  <c r="AS153"/>
  <c r="AR153"/>
  <c r="AQ153"/>
  <c r="AP153"/>
  <c r="AO153"/>
  <c r="AN153"/>
  <c r="AM153"/>
  <c r="AL153"/>
  <c r="AK153"/>
  <c r="AJ153"/>
  <c r="AI153"/>
  <c r="AH153"/>
  <c r="AG153"/>
  <c r="AF153"/>
  <c r="AE153"/>
  <c r="AD153"/>
  <c r="AC153"/>
  <c r="AB153"/>
  <c r="AA153"/>
  <c r="Z153"/>
  <c r="Y153"/>
  <c r="X153"/>
  <c r="W153"/>
  <c r="V153"/>
  <c r="U153"/>
  <c r="T153"/>
  <c r="S153"/>
  <c r="R153"/>
  <c r="Q153"/>
  <c r="P153"/>
  <c r="O153"/>
  <c r="N153"/>
  <c r="M153"/>
  <c r="L153"/>
  <c r="K153"/>
  <c r="J153"/>
  <c r="I153"/>
  <c r="H153"/>
  <c r="G153"/>
  <c r="F153"/>
  <c r="E153"/>
  <c r="D153"/>
  <c r="C153"/>
  <c r="B153"/>
  <c r="A153"/>
  <c r="BS152"/>
  <c r="BR152"/>
  <c r="BQ152"/>
  <c r="BP152"/>
  <c r="BO152"/>
  <c r="BN152"/>
  <c r="BM152"/>
  <c r="BL152"/>
  <c r="BK152"/>
  <c r="BJ152"/>
  <c r="BI152"/>
  <c r="BH152"/>
  <c r="BG152"/>
  <c r="BF152"/>
  <c r="BE152"/>
  <c r="BD152"/>
  <c r="BC152"/>
  <c r="BB152"/>
  <c r="BA152"/>
  <c r="AZ152"/>
  <c r="AY152"/>
  <c r="AX152"/>
  <c r="AW152"/>
  <c r="AV152"/>
  <c r="AU152"/>
  <c r="AT152"/>
  <c r="AS152"/>
  <c r="AR152"/>
  <c r="AQ152"/>
  <c r="AP152"/>
  <c r="AO152"/>
  <c r="AN152"/>
  <c r="AM152"/>
  <c r="AL152"/>
  <c r="AK152"/>
  <c r="AJ152"/>
  <c r="AI152"/>
  <c r="AH152"/>
  <c r="AG152"/>
  <c r="AF152"/>
  <c r="AE152"/>
  <c r="AD152"/>
  <c r="AC152"/>
  <c r="AB152"/>
  <c r="AA152"/>
  <c r="Z152"/>
  <c r="Y152"/>
  <c r="X152"/>
  <c r="W152"/>
  <c r="V152"/>
  <c r="U152"/>
  <c r="T152"/>
  <c r="S152"/>
  <c r="R152"/>
  <c r="Q152"/>
  <c r="P152"/>
  <c r="O152"/>
  <c r="N152"/>
  <c r="M152"/>
  <c r="L152"/>
  <c r="K152"/>
  <c r="J152"/>
  <c r="I152"/>
  <c r="H152"/>
  <c r="G152"/>
  <c r="F152"/>
  <c r="E152"/>
  <c r="D152"/>
  <c r="C152"/>
  <c r="B152"/>
  <c r="A152"/>
  <c r="BS151"/>
  <c r="BR151"/>
  <c r="BQ151"/>
  <c r="BP151"/>
  <c r="BO151"/>
  <c r="BN151"/>
  <c r="BM151"/>
  <c r="BL151"/>
  <c r="BK151"/>
  <c r="BJ151"/>
  <c r="BI151"/>
  <c r="BH151"/>
  <c r="BG151"/>
  <c r="BF151"/>
  <c r="BE151"/>
  <c r="BD151"/>
  <c r="BC151"/>
  <c r="BB151"/>
  <c r="BA151"/>
  <c r="AZ151"/>
  <c r="AY151"/>
  <c r="AX151"/>
  <c r="AW151"/>
  <c r="AV151"/>
  <c r="AU151"/>
  <c r="AT151"/>
  <c r="AS151"/>
  <c r="AR151"/>
  <c r="AQ151"/>
  <c r="AP151"/>
  <c r="AO151"/>
  <c r="AN151"/>
  <c r="AM151"/>
  <c r="AL151"/>
  <c r="AK151"/>
  <c r="AJ151"/>
  <c r="AI151"/>
  <c r="AH151"/>
  <c r="AG151"/>
  <c r="AF151"/>
  <c r="AE151"/>
  <c r="AD151"/>
  <c r="AC151"/>
  <c r="AB151"/>
  <c r="AA151"/>
  <c r="Z151"/>
  <c r="Y151"/>
  <c r="X151"/>
  <c r="W151"/>
  <c r="V151"/>
  <c r="U151"/>
  <c r="T151"/>
  <c r="S151"/>
  <c r="R151"/>
  <c r="Q151"/>
  <c r="P151"/>
  <c r="O151"/>
  <c r="N151"/>
  <c r="M151"/>
  <c r="L151"/>
  <c r="K151"/>
  <c r="J151"/>
  <c r="I151"/>
  <c r="H151"/>
  <c r="G151"/>
  <c r="F151"/>
  <c r="E151"/>
  <c r="D151"/>
  <c r="C151"/>
  <c r="B151"/>
  <c r="A151"/>
  <c r="BS150"/>
  <c r="BR150"/>
  <c r="BQ150"/>
  <c r="BP150"/>
  <c r="BO150"/>
  <c r="BN150"/>
  <c r="BM150"/>
  <c r="BL150"/>
  <c r="BK150"/>
  <c r="BJ150"/>
  <c r="BI150"/>
  <c r="BH150"/>
  <c r="BG150"/>
  <c r="BF150"/>
  <c r="BE150"/>
  <c r="BD150"/>
  <c r="BC150"/>
  <c r="BB150"/>
  <c r="BA150"/>
  <c r="AZ150"/>
  <c r="AY150"/>
  <c r="AX150"/>
  <c r="AW150"/>
  <c r="AV150"/>
  <c r="AU150"/>
  <c r="AT150"/>
  <c r="AS150"/>
  <c r="AR150"/>
  <c r="AM150"/>
  <c r="AL150"/>
  <c r="AK150"/>
  <c r="AJ150"/>
  <c r="AI150"/>
  <c r="AH150"/>
  <c r="AG150"/>
  <c r="AF150"/>
  <c r="AE150"/>
  <c r="AD150"/>
  <c r="AC150"/>
  <c r="AB150"/>
  <c r="AA150"/>
  <c r="Z150"/>
  <c r="Y150"/>
  <c r="X150"/>
  <c r="W150"/>
  <c r="V150"/>
  <c r="T150"/>
  <c r="R150"/>
  <c r="Q150"/>
  <c r="P150"/>
  <c r="O150"/>
  <c r="N150"/>
  <c r="M150"/>
  <c r="L150"/>
  <c r="K150"/>
  <c r="J150"/>
  <c r="I150"/>
  <c r="H150"/>
  <c r="G150"/>
  <c r="F150"/>
  <c r="E150"/>
  <c r="D150"/>
  <c r="C150"/>
  <c r="B150"/>
  <c r="A150"/>
  <c r="BS149"/>
  <c r="BR149"/>
  <c r="BQ149"/>
  <c r="BP149"/>
  <c r="BO149"/>
  <c r="BN149"/>
  <c r="BM149"/>
  <c r="BL149"/>
  <c r="BK149"/>
  <c r="BJ149"/>
  <c r="BI149"/>
  <c r="BH149"/>
  <c r="BG149"/>
  <c r="BF149"/>
  <c r="BE149"/>
  <c r="BD149"/>
  <c r="BC149"/>
  <c r="BB149"/>
  <c r="BA149"/>
  <c r="AZ149"/>
  <c r="AY149"/>
  <c r="AX149"/>
  <c r="AW149"/>
  <c r="AV149"/>
  <c r="AU149"/>
  <c r="AT149"/>
  <c r="AS149"/>
  <c r="AR149"/>
  <c r="AP149"/>
  <c r="AO149"/>
  <c r="AM149"/>
  <c r="AL149"/>
  <c r="AK149"/>
  <c r="AJ149"/>
  <c r="AI149"/>
  <c r="AH149"/>
  <c r="AG149"/>
  <c r="AF149"/>
  <c r="AE149"/>
  <c r="AD149"/>
  <c r="AC149"/>
  <c r="AB149"/>
  <c r="AA149"/>
  <c r="Z149"/>
  <c r="Y149"/>
  <c r="X149"/>
  <c r="W149"/>
  <c r="V149"/>
  <c r="T149"/>
  <c r="S149"/>
  <c r="R149"/>
  <c r="Q149"/>
  <c r="P149"/>
  <c r="O149"/>
  <c r="N149"/>
  <c r="M149"/>
  <c r="L149"/>
  <c r="K149"/>
  <c r="J149"/>
  <c r="I149"/>
  <c r="H149"/>
  <c r="G149"/>
  <c r="F149"/>
  <c r="E149"/>
  <c r="D149"/>
  <c r="C149"/>
  <c r="B149"/>
  <c r="A149"/>
  <c r="BS148"/>
  <c r="BR148"/>
  <c r="BQ148"/>
  <c r="BP148"/>
  <c r="BO148"/>
  <c r="BN148"/>
  <c r="BM148"/>
  <c r="BL148"/>
  <c r="BK148"/>
  <c r="BJ148"/>
  <c r="BI148"/>
  <c r="BH148"/>
  <c r="BG148"/>
  <c r="BF148"/>
  <c r="BE148"/>
  <c r="BD148"/>
  <c r="BC148"/>
  <c r="BB148"/>
  <c r="BA148"/>
  <c r="AZ148"/>
  <c r="AY148"/>
  <c r="AX148"/>
  <c r="AW148"/>
  <c r="AV148"/>
  <c r="AU148"/>
  <c r="AT148"/>
  <c r="AS148"/>
  <c r="AR148"/>
  <c r="AQ148"/>
  <c r="AP148"/>
  <c r="AO148"/>
  <c r="AN148"/>
  <c r="AM148"/>
  <c r="AL148"/>
  <c r="AK148"/>
  <c r="AJ148"/>
  <c r="AI148"/>
  <c r="AH148"/>
  <c r="AG148"/>
  <c r="AF148"/>
  <c r="AE148"/>
  <c r="AD148"/>
  <c r="AC148"/>
  <c r="AB148"/>
  <c r="AA148"/>
  <c r="Z148"/>
  <c r="Y148"/>
  <c r="X148"/>
  <c r="W148"/>
  <c r="V148"/>
  <c r="U148"/>
  <c r="T148"/>
  <c r="S148"/>
  <c r="R148"/>
  <c r="Q148"/>
  <c r="P148"/>
  <c r="O148"/>
  <c r="N148"/>
  <c r="M148"/>
  <c r="L148"/>
  <c r="K148"/>
  <c r="J148"/>
  <c r="I148"/>
  <c r="H148"/>
  <c r="G148"/>
  <c r="F148"/>
  <c r="E148"/>
  <c r="D148"/>
  <c r="C148"/>
  <c r="B148"/>
  <c r="A148"/>
  <c r="BS147"/>
  <c r="BR147"/>
  <c r="BQ147"/>
  <c r="BP147"/>
  <c r="BO147"/>
  <c r="BN147"/>
  <c r="BM147"/>
  <c r="BL147"/>
  <c r="BK147"/>
  <c r="BJ147"/>
  <c r="BI147"/>
  <c r="BH147"/>
  <c r="BG147"/>
  <c r="BF147"/>
  <c r="BE147"/>
  <c r="BD147"/>
  <c r="BC147"/>
  <c r="BB147"/>
  <c r="BA147"/>
  <c r="AZ147"/>
  <c r="AY147"/>
  <c r="AX147"/>
  <c r="AW147"/>
  <c r="AV147"/>
  <c r="AU147"/>
  <c r="AT147"/>
  <c r="AS147"/>
  <c r="AR147"/>
  <c r="AQ147"/>
  <c r="AP147"/>
  <c r="AO147"/>
  <c r="AN147"/>
  <c r="AM147"/>
  <c r="AL147"/>
  <c r="AK147"/>
  <c r="AJ147"/>
  <c r="AI147"/>
  <c r="AH147"/>
  <c r="AG147"/>
  <c r="AF147"/>
  <c r="AE147"/>
  <c r="AD147"/>
  <c r="AC147"/>
  <c r="AB147"/>
  <c r="AA147"/>
  <c r="Z147"/>
  <c r="Y147"/>
  <c r="X147"/>
  <c r="W147"/>
  <c r="V147"/>
  <c r="U147"/>
  <c r="T147"/>
  <c r="S147"/>
  <c r="R147"/>
  <c r="Q147"/>
  <c r="P147"/>
  <c r="O147"/>
  <c r="N147"/>
  <c r="M147"/>
  <c r="L147"/>
  <c r="K147"/>
  <c r="J147"/>
  <c r="I147"/>
  <c r="H147"/>
  <c r="G147"/>
  <c r="F147"/>
  <c r="E147"/>
  <c r="D147"/>
  <c r="C147"/>
  <c r="B147"/>
  <c r="A147"/>
  <c r="BS146"/>
  <c r="BR146"/>
  <c r="BQ146"/>
  <c r="BP146"/>
  <c r="BO146"/>
  <c r="BN146"/>
  <c r="BM146"/>
  <c r="BL146"/>
  <c r="BK146"/>
  <c r="BJ146"/>
  <c r="BI146"/>
  <c r="BH146"/>
  <c r="BG146"/>
  <c r="BF146"/>
  <c r="BE146"/>
  <c r="BD146"/>
  <c r="BC146"/>
  <c r="BB146"/>
  <c r="BA146"/>
  <c r="AZ146"/>
  <c r="AY146"/>
  <c r="AX146"/>
  <c r="AW146"/>
  <c r="AV146"/>
  <c r="AU146"/>
  <c r="AT146"/>
  <c r="AS146"/>
  <c r="AR146"/>
  <c r="AQ146"/>
  <c r="AP146"/>
  <c r="AO146"/>
  <c r="AN146"/>
  <c r="AM146"/>
  <c r="AL146"/>
  <c r="AK146"/>
  <c r="AJ146"/>
  <c r="AI146"/>
  <c r="AH146"/>
  <c r="AG146"/>
  <c r="AF146"/>
  <c r="AE146"/>
  <c r="AD146"/>
  <c r="AC146"/>
  <c r="AB146"/>
  <c r="AA146"/>
  <c r="Z146"/>
  <c r="Y146"/>
  <c r="X146"/>
  <c r="W146"/>
  <c r="V146"/>
  <c r="U146"/>
  <c r="T146"/>
  <c r="S146"/>
  <c r="R146"/>
  <c r="Q146"/>
  <c r="P146"/>
  <c r="O146"/>
  <c r="N146"/>
  <c r="M146"/>
  <c r="L146"/>
  <c r="K146"/>
  <c r="J146"/>
  <c r="I146"/>
  <c r="H146"/>
  <c r="G146"/>
  <c r="F146"/>
  <c r="E146"/>
  <c r="D146"/>
  <c r="C146"/>
  <c r="B146"/>
  <c r="A146"/>
  <c r="BS145"/>
  <c r="BR145"/>
  <c r="BQ145"/>
  <c r="BP145"/>
  <c r="BO145"/>
  <c r="BN145"/>
  <c r="BM145"/>
  <c r="BL145"/>
  <c r="BK145"/>
  <c r="BJ145"/>
  <c r="BI145"/>
  <c r="BH145"/>
  <c r="BG145"/>
  <c r="BF145"/>
  <c r="BE145"/>
  <c r="BD145"/>
  <c r="BC145"/>
  <c r="BB145"/>
  <c r="BA145"/>
  <c r="AZ145"/>
  <c r="AY145"/>
  <c r="AX145"/>
  <c r="AW145"/>
  <c r="AV145"/>
  <c r="AU145"/>
  <c r="AT145"/>
  <c r="AS145"/>
  <c r="AR145"/>
  <c r="AQ145"/>
  <c r="AP145"/>
  <c r="AO145"/>
  <c r="AN145"/>
  <c r="AM145"/>
  <c r="AL145"/>
  <c r="AK145"/>
  <c r="AJ145"/>
  <c r="AI145"/>
  <c r="AH145"/>
  <c r="AG145"/>
  <c r="AF145"/>
  <c r="AE145"/>
  <c r="AD145"/>
  <c r="AC145"/>
  <c r="AB145"/>
  <c r="AA145"/>
  <c r="Z145"/>
  <c r="Y145"/>
  <c r="X145"/>
  <c r="W145"/>
  <c r="V145"/>
  <c r="U145"/>
  <c r="T145"/>
  <c r="S145"/>
  <c r="R145"/>
  <c r="Q145"/>
  <c r="P145"/>
  <c r="O145"/>
  <c r="N145"/>
  <c r="M145"/>
  <c r="L145"/>
  <c r="K145"/>
  <c r="J145"/>
  <c r="I145"/>
  <c r="H145"/>
  <c r="G145"/>
  <c r="F145"/>
  <c r="E145"/>
  <c r="D145"/>
  <c r="C145"/>
  <c r="B145"/>
  <c r="A145"/>
  <c r="BS144"/>
  <c r="BR144"/>
  <c r="BQ144"/>
  <c r="BP144"/>
  <c r="BO144"/>
  <c r="BN144"/>
  <c r="BM144"/>
  <c r="BL144"/>
  <c r="BK144"/>
  <c r="BJ144"/>
  <c r="BI144"/>
  <c r="BH144"/>
  <c r="BG144"/>
  <c r="BF144"/>
  <c r="BE144"/>
  <c r="BD144"/>
  <c r="BC144"/>
  <c r="BB144"/>
  <c r="BA144"/>
  <c r="AZ144"/>
  <c r="AY144"/>
  <c r="AX144"/>
  <c r="AW144"/>
  <c r="AV144"/>
  <c r="AU144"/>
  <c r="AT144"/>
  <c r="AS144"/>
  <c r="AR144"/>
  <c r="AQ144"/>
  <c r="AP144"/>
  <c r="AO144"/>
  <c r="AN144"/>
  <c r="AM144"/>
  <c r="AL144"/>
  <c r="AK144"/>
  <c r="AJ144"/>
  <c r="AI144"/>
  <c r="AH144"/>
  <c r="AG144"/>
  <c r="AF144"/>
  <c r="AE144"/>
  <c r="AD144"/>
  <c r="AC144"/>
  <c r="AB144"/>
  <c r="AA144"/>
  <c r="Z144"/>
  <c r="Y144"/>
  <c r="X144"/>
  <c r="W144"/>
  <c r="V144"/>
  <c r="U144"/>
  <c r="T144"/>
  <c r="S144"/>
  <c r="R144"/>
  <c r="Q144"/>
  <c r="P144"/>
  <c r="O144"/>
  <c r="N144"/>
  <c r="M144"/>
  <c r="L144"/>
  <c r="K144"/>
  <c r="J144"/>
  <c r="I144"/>
  <c r="H144"/>
  <c r="G144"/>
  <c r="F144"/>
  <c r="E144"/>
  <c r="D144"/>
  <c r="C144"/>
  <c r="B144"/>
  <c r="A144"/>
  <c r="BS143"/>
  <c r="BR143"/>
  <c r="BQ143"/>
  <c r="BP143"/>
  <c r="BO143"/>
  <c r="BN143"/>
  <c r="BM143"/>
  <c r="BL143"/>
  <c r="BK143"/>
  <c r="BJ143"/>
  <c r="BI143"/>
  <c r="BH143"/>
  <c r="BG143"/>
  <c r="BF143"/>
  <c r="BE143"/>
  <c r="BD143"/>
  <c r="BC143"/>
  <c r="BB143"/>
  <c r="BA143"/>
  <c r="AZ143"/>
  <c r="AY143"/>
  <c r="AX143"/>
  <c r="AW143"/>
  <c r="AV143"/>
  <c r="AU143"/>
  <c r="AT143"/>
  <c r="AS143"/>
  <c r="AR143"/>
  <c r="AQ143"/>
  <c r="AP143"/>
  <c r="AO143"/>
  <c r="AN143"/>
  <c r="AM143"/>
  <c r="AL143"/>
  <c r="AK143"/>
  <c r="AJ143"/>
  <c r="AI143"/>
  <c r="AH143"/>
  <c r="AG143"/>
  <c r="AF143"/>
  <c r="AE143"/>
  <c r="AD143"/>
  <c r="AC143"/>
  <c r="AB143"/>
  <c r="AA143"/>
  <c r="Z143"/>
  <c r="Y143"/>
  <c r="X143"/>
  <c r="W143"/>
  <c r="V143"/>
  <c r="U143"/>
  <c r="T143"/>
  <c r="S143"/>
  <c r="R143"/>
  <c r="Q143"/>
  <c r="P143"/>
  <c r="O143"/>
  <c r="N143"/>
  <c r="M143"/>
  <c r="L143"/>
  <c r="K143"/>
  <c r="J143"/>
  <c r="I143"/>
  <c r="H143"/>
  <c r="G143"/>
  <c r="F143"/>
  <c r="E143"/>
  <c r="D143"/>
  <c r="C143"/>
  <c r="B143"/>
  <c r="A143"/>
  <c r="BS142"/>
  <c r="BR142"/>
  <c r="BQ142"/>
  <c r="BP142"/>
  <c r="BO142"/>
  <c r="BN142"/>
  <c r="BM142"/>
  <c r="BL142"/>
  <c r="BK142"/>
  <c r="BJ142"/>
  <c r="BI142"/>
  <c r="BH142"/>
  <c r="BG142"/>
  <c r="BF142"/>
  <c r="BE142"/>
  <c r="BD142"/>
  <c r="BC142"/>
  <c r="BB142"/>
  <c r="BA142"/>
  <c r="AZ142"/>
  <c r="AY142"/>
  <c r="AX142"/>
  <c r="AW142"/>
  <c r="AV142"/>
  <c r="AU142"/>
  <c r="AT142"/>
  <c r="AS142"/>
  <c r="AR142"/>
  <c r="AQ142"/>
  <c r="AP142"/>
  <c r="AO142"/>
  <c r="AN142"/>
  <c r="AM142"/>
  <c r="AL142"/>
  <c r="AK142"/>
  <c r="AJ142"/>
  <c r="AI142"/>
  <c r="AH142"/>
  <c r="AG142"/>
  <c r="AF142"/>
  <c r="AE142"/>
  <c r="AD142"/>
  <c r="AC142"/>
  <c r="AB142"/>
  <c r="AA142"/>
  <c r="Z142"/>
  <c r="Y142"/>
  <c r="X142"/>
  <c r="W142"/>
  <c r="V142"/>
  <c r="U142"/>
  <c r="T142"/>
  <c r="S142"/>
  <c r="R142"/>
  <c r="Q142"/>
  <c r="P142"/>
  <c r="O142"/>
  <c r="N142"/>
  <c r="M142"/>
  <c r="L142"/>
  <c r="K142"/>
  <c r="J142"/>
  <c r="I142"/>
  <c r="H142"/>
  <c r="G142"/>
  <c r="F142"/>
  <c r="E142"/>
  <c r="D142"/>
  <c r="C142"/>
  <c r="B142"/>
  <c r="A142"/>
  <c r="BS141"/>
  <c r="BR141"/>
  <c r="BQ141"/>
  <c r="BP141"/>
  <c r="BO141"/>
  <c r="BN141"/>
  <c r="BM141"/>
  <c r="BL141"/>
  <c r="BK141"/>
  <c r="BJ141"/>
  <c r="BI141"/>
  <c r="BH141"/>
  <c r="BG141"/>
  <c r="BF141"/>
  <c r="BE141"/>
  <c r="BD141"/>
  <c r="BC141"/>
  <c r="BB141"/>
  <c r="BA141"/>
  <c r="AZ141"/>
  <c r="AY141"/>
  <c r="AX141"/>
  <c r="AW141"/>
  <c r="AV141"/>
  <c r="AU141"/>
  <c r="AT141"/>
  <c r="AS141"/>
  <c r="AR141"/>
  <c r="AQ141"/>
  <c r="AP141"/>
  <c r="AO141"/>
  <c r="AN141"/>
  <c r="AM141"/>
  <c r="AL141"/>
  <c r="AK141"/>
  <c r="AJ141"/>
  <c r="AI141"/>
  <c r="AH141"/>
  <c r="AG141"/>
  <c r="AF141"/>
  <c r="AE141"/>
  <c r="AD141"/>
  <c r="AC141"/>
  <c r="AB141"/>
  <c r="AA141"/>
  <c r="Z141"/>
  <c r="Y141"/>
  <c r="X141"/>
  <c r="W141"/>
  <c r="V141"/>
  <c r="U141"/>
  <c r="T141"/>
  <c r="S141"/>
  <c r="R141"/>
  <c r="Q141"/>
  <c r="P141"/>
  <c r="O141"/>
  <c r="N141"/>
  <c r="M141"/>
  <c r="L141"/>
  <c r="K141"/>
  <c r="J141"/>
  <c r="I141"/>
  <c r="H141"/>
  <c r="G141"/>
  <c r="F141"/>
  <c r="E141"/>
  <c r="D141"/>
  <c r="C141"/>
  <c r="B141"/>
  <c r="A141"/>
  <c r="BS140"/>
  <c r="BR140"/>
  <c r="BQ140"/>
  <c r="BP140"/>
  <c r="BO140"/>
  <c r="BN140"/>
  <c r="BM140"/>
  <c r="BL140"/>
  <c r="BK140"/>
  <c r="BJ140"/>
  <c r="BI140"/>
  <c r="BH140"/>
  <c r="BG140"/>
  <c r="BF140"/>
  <c r="BE140"/>
  <c r="BD140"/>
  <c r="BC140"/>
  <c r="BB140"/>
  <c r="BA140"/>
  <c r="AZ140"/>
  <c r="AY140"/>
  <c r="AX140"/>
  <c r="AW140"/>
  <c r="AV140"/>
  <c r="AU140"/>
  <c r="AT140"/>
  <c r="AS140"/>
  <c r="AR140"/>
  <c r="AQ140"/>
  <c r="AP140"/>
  <c r="AO140"/>
  <c r="AN140"/>
  <c r="AM140"/>
  <c r="AL140"/>
  <c r="AK140"/>
  <c r="AJ140"/>
  <c r="AI140"/>
  <c r="AH140"/>
  <c r="AG140"/>
  <c r="AF140"/>
  <c r="AE140"/>
  <c r="AD140"/>
  <c r="AC140"/>
  <c r="AB140"/>
  <c r="AA140"/>
  <c r="Z140"/>
  <c r="Y140"/>
  <c r="X140"/>
  <c r="W140"/>
  <c r="V140"/>
  <c r="U140"/>
  <c r="T140"/>
  <c r="S140"/>
  <c r="R140"/>
  <c r="Q140"/>
  <c r="P140"/>
  <c r="O140"/>
  <c r="N140"/>
  <c r="M140"/>
  <c r="L140"/>
  <c r="K140"/>
  <c r="J140"/>
  <c r="I140"/>
  <c r="H140"/>
  <c r="G140"/>
  <c r="F140"/>
  <c r="E140"/>
  <c r="D140"/>
  <c r="C140"/>
  <c r="B140"/>
  <c r="A140"/>
  <c r="BS139"/>
  <c r="BR139"/>
  <c r="BQ139"/>
  <c r="BP139"/>
  <c r="BO139"/>
  <c r="BN139"/>
  <c r="BM139"/>
  <c r="BL139"/>
  <c r="BK139"/>
  <c r="BJ139"/>
  <c r="BI139"/>
  <c r="BH139"/>
  <c r="BG139"/>
  <c r="BF139"/>
  <c r="BE139"/>
  <c r="BD139"/>
  <c r="BC139"/>
  <c r="BB139"/>
  <c r="BA139"/>
  <c r="AZ139"/>
  <c r="AY139"/>
  <c r="AX139"/>
  <c r="AW139"/>
  <c r="AV139"/>
  <c r="AU139"/>
  <c r="AT139"/>
  <c r="AS139"/>
  <c r="AR139"/>
  <c r="AQ139"/>
  <c r="AP139"/>
  <c r="AO139"/>
  <c r="AN139"/>
  <c r="AM139"/>
  <c r="AL139"/>
  <c r="AK139"/>
  <c r="AJ139"/>
  <c r="AI139"/>
  <c r="AH139"/>
  <c r="AG139"/>
  <c r="AF139"/>
  <c r="AE139"/>
  <c r="AD139"/>
  <c r="AC139"/>
  <c r="AB139"/>
  <c r="AA139"/>
  <c r="Z139"/>
  <c r="Y139"/>
  <c r="X139"/>
  <c r="W139"/>
  <c r="V139"/>
  <c r="U139"/>
  <c r="T139"/>
  <c r="S139"/>
  <c r="R139"/>
  <c r="Q139"/>
  <c r="P139"/>
  <c r="O139"/>
  <c r="N139"/>
  <c r="M139"/>
  <c r="L139"/>
  <c r="K139"/>
  <c r="J139"/>
  <c r="I139"/>
  <c r="H139"/>
  <c r="G139"/>
  <c r="F139"/>
  <c r="E139"/>
  <c r="D139"/>
  <c r="C139"/>
  <c r="B139"/>
  <c r="A139"/>
  <c r="BS138"/>
  <c r="BR138"/>
  <c r="BQ138"/>
  <c r="BP138"/>
  <c r="BO138"/>
  <c r="BN138"/>
  <c r="BM138"/>
  <c r="BL138"/>
  <c r="BK138"/>
  <c r="BJ138"/>
  <c r="BI138"/>
  <c r="BH138"/>
  <c r="BG138"/>
  <c r="BF138"/>
  <c r="BE138"/>
  <c r="BD138"/>
  <c r="BC138"/>
  <c r="BB138"/>
  <c r="BA138"/>
  <c r="AZ138"/>
  <c r="AY138"/>
  <c r="AX138"/>
  <c r="AW138"/>
  <c r="AV138"/>
  <c r="AU138"/>
  <c r="AT138"/>
  <c r="AS138"/>
  <c r="AR138"/>
  <c r="AQ138"/>
  <c r="AP138"/>
  <c r="AO138"/>
  <c r="AN138"/>
  <c r="AM138"/>
  <c r="AL138"/>
  <c r="AK138"/>
  <c r="AJ138"/>
  <c r="AI138"/>
  <c r="AH138"/>
  <c r="AG138"/>
  <c r="AF138"/>
  <c r="AE138"/>
  <c r="AD138"/>
  <c r="AC138"/>
  <c r="AB138"/>
  <c r="AA138"/>
  <c r="Z138"/>
  <c r="Y138"/>
  <c r="X138"/>
  <c r="W138"/>
  <c r="V138"/>
  <c r="U138"/>
  <c r="T138"/>
  <c r="S138"/>
  <c r="R138"/>
  <c r="Q138"/>
  <c r="P138"/>
  <c r="O138"/>
  <c r="N138"/>
  <c r="M138"/>
  <c r="L138"/>
  <c r="K138"/>
  <c r="J138"/>
  <c r="I138"/>
  <c r="H138"/>
  <c r="G138"/>
  <c r="F138"/>
  <c r="E138"/>
  <c r="D138"/>
  <c r="C138"/>
  <c r="B138"/>
  <c r="A138"/>
  <c r="BS137"/>
  <c r="BR137"/>
  <c r="BQ137"/>
  <c r="BP137"/>
  <c r="BO137"/>
  <c r="BN137"/>
  <c r="BM137"/>
  <c r="BL137"/>
  <c r="BK137"/>
  <c r="BJ137"/>
  <c r="BI137"/>
  <c r="BH137"/>
  <c r="BG137"/>
  <c r="BF137"/>
  <c r="BE137"/>
  <c r="BD137"/>
  <c r="BC137"/>
  <c r="BB137"/>
  <c r="BA137"/>
  <c r="AZ137"/>
  <c r="AY137"/>
  <c r="AX137"/>
  <c r="AW137"/>
  <c r="AV137"/>
  <c r="AU137"/>
  <c r="AT137"/>
  <c r="AS137"/>
  <c r="AR137"/>
  <c r="AQ137"/>
  <c r="AP137"/>
  <c r="AO137"/>
  <c r="AN137"/>
  <c r="AM137"/>
  <c r="AL137"/>
  <c r="AK137"/>
  <c r="AJ137"/>
  <c r="AI137"/>
  <c r="AH137"/>
  <c r="AG137"/>
  <c r="AF137"/>
  <c r="AE137"/>
  <c r="AD137"/>
  <c r="AC137"/>
  <c r="AB137"/>
  <c r="AA137"/>
  <c r="Z137"/>
  <c r="Y137"/>
  <c r="X137"/>
  <c r="W137"/>
  <c r="V137"/>
  <c r="U137"/>
  <c r="T137"/>
  <c r="S137"/>
  <c r="R137"/>
  <c r="Q137"/>
  <c r="P137"/>
  <c r="O137"/>
  <c r="N137"/>
  <c r="M137"/>
  <c r="L137"/>
  <c r="K137"/>
  <c r="J137"/>
  <c r="I137"/>
  <c r="H137"/>
  <c r="G137"/>
  <c r="F137"/>
  <c r="E137"/>
  <c r="D137"/>
  <c r="C137"/>
  <c r="B137"/>
  <c r="A137"/>
  <c r="BS136"/>
  <c r="BR136"/>
  <c r="BQ136"/>
  <c r="BP136"/>
  <c r="BO136"/>
  <c r="BN136"/>
  <c r="BM136"/>
  <c r="BL136"/>
  <c r="BK136"/>
  <c r="BJ136"/>
  <c r="BI136"/>
  <c r="BH136"/>
  <c r="BG136"/>
  <c r="BF136"/>
  <c r="BE136"/>
  <c r="BD136"/>
  <c r="BC136"/>
  <c r="BB136"/>
  <c r="BA136"/>
  <c r="AZ136"/>
  <c r="AY136"/>
  <c r="AX136"/>
  <c r="AW136"/>
  <c r="AV136"/>
  <c r="AU136"/>
  <c r="AT136"/>
  <c r="AS136"/>
  <c r="AR136"/>
  <c r="AQ136"/>
  <c r="AP136"/>
  <c r="AO136"/>
  <c r="AN136"/>
  <c r="AM136"/>
  <c r="AL136"/>
  <c r="AK136"/>
  <c r="AJ136"/>
  <c r="AI136"/>
  <c r="AH136"/>
  <c r="AG136"/>
  <c r="AF136"/>
  <c r="AE136"/>
  <c r="AD136"/>
  <c r="AC136"/>
  <c r="AB136"/>
  <c r="AA136"/>
  <c r="Z136"/>
  <c r="Y136"/>
  <c r="X136"/>
  <c r="W136"/>
  <c r="V136"/>
  <c r="U136"/>
  <c r="T136"/>
  <c r="S136"/>
  <c r="R136"/>
  <c r="Q136"/>
  <c r="P136"/>
  <c r="O136"/>
  <c r="N136"/>
  <c r="M136"/>
  <c r="L136"/>
  <c r="K136"/>
  <c r="J136"/>
  <c r="I136"/>
  <c r="H136"/>
  <c r="G136"/>
  <c r="F136"/>
  <c r="E136"/>
  <c r="D136"/>
  <c r="C136"/>
  <c r="B136"/>
  <c r="A136"/>
  <c r="BS135"/>
  <c r="BR135"/>
  <c r="BQ135"/>
  <c r="BP135"/>
  <c r="BO135"/>
  <c r="BN135"/>
  <c r="BM135"/>
  <c r="BL135"/>
  <c r="BK135"/>
  <c r="BJ135"/>
  <c r="BI135"/>
  <c r="BH135"/>
  <c r="BG135"/>
  <c r="BF135"/>
  <c r="BE135"/>
  <c r="BD135"/>
  <c r="BC135"/>
  <c r="BB135"/>
  <c r="BA135"/>
  <c r="AZ135"/>
  <c r="AY135"/>
  <c r="AX135"/>
  <c r="AW135"/>
  <c r="AV135"/>
  <c r="AU135"/>
  <c r="AT135"/>
  <c r="AS135"/>
  <c r="AR135"/>
  <c r="AQ135"/>
  <c r="AP135"/>
  <c r="AO135"/>
  <c r="AN135"/>
  <c r="AM135"/>
  <c r="AL135"/>
  <c r="AK135"/>
  <c r="AJ135"/>
  <c r="AI135"/>
  <c r="AH135"/>
  <c r="AG135"/>
  <c r="AF135"/>
  <c r="AE135"/>
  <c r="AD135"/>
  <c r="AC135"/>
  <c r="AB135"/>
  <c r="AA135"/>
  <c r="Z135"/>
  <c r="Y135"/>
  <c r="X135"/>
  <c r="W135"/>
  <c r="V135"/>
  <c r="U135"/>
  <c r="T135"/>
  <c r="S135"/>
  <c r="R135"/>
  <c r="Q135"/>
  <c r="P135"/>
  <c r="O135"/>
  <c r="N135"/>
  <c r="M135"/>
  <c r="L135"/>
  <c r="K135"/>
  <c r="J135"/>
  <c r="I135"/>
  <c r="H135"/>
  <c r="G135"/>
  <c r="F135"/>
  <c r="E135"/>
  <c r="D135"/>
  <c r="C135"/>
  <c r="B135"/>
  <c r="A135"/>
  <c r="BS134"/>
  <c r="BR134"/>
  <c r="BQ134"/>
  <c r="BP134"/>
  <c r="BO134"/>
  <c r="BN134"/>
  <c r="BM134"/>
  <c r="BL134"/>
  <c r="BK134"/>
  <c r="BJ134"/>
  <c r="BI134"/>
  <c r="BH134"/>
  <c r="BG134"/>
  <c r="BF134"/>
  <c r="BE134"/>
  <c r="BD134"/>
  <c r="BC134"/>
  <c r="BB134"/>
  <c r="BA134"/>
  <c r="AZ134"/>
  <c r="AY134"/>
  <c r="AX134"/>
  <c r="AW134"/>
  <c r="AV134"/>
  <c r="AU134"/>
  <c r="AT134"/>
  <c r="AS134"/>
  <c r="AR134"/>
  <c r="AQ134"/>
  <c r="AP134"/>
  <c r="AO134"/>
  <c r="AN134"/>
  <c r="AM134"/>
  <c r="AL134"/>
  <c r="AK134"/>
  <c r="AJ134"/>
  <c r="AI134"/>
  <c r="AH134"/>
  <c r="AG134"/>
  <c r="AF134"/>
  <c r="AE134"/>
  <c r="AD134"/>
  <c r="AC134"/>
  <c r="AB134"/>
  <c r="AA134"/>
  <c r="Z134"/>
  <c r="Y134"/>
  <c r="X134"/>
  <c r="W134"/>
  <c r="V134"/>
  <c r="U134"/>
  <c r="T134"/>
  <c r="S134"/>
  <c r="R134"/>
  <c r="Q134"/>
  <c r="P134"/>
  <c r="O134"/>
  <c r="N134"/>
  <c r="M134"/>
  <c r="L134"/>
  <c r="K134"/>
  <c r="J134"/>
  <c r="I134"/>
  <c r="H134"/>
  <c r="G134"/>
  <c r="F134"/>
  <c r="E134"/>
  <c r="D134"/>
  <c r="C134"/>
  <c r="B134"/>
  <c r="A134"/>
  <c r="BS133"/>
  <c r="BR133"/>
  <c r="BQ133"/>
  <c r="BP133"/>
  <c r="BO133"/>
  <c r="BN133"/>
  <c r="BM133"/>
  <c r="BL133"/>
  <c r="BK133"/>
  <c r="BJ133"/>
  <c r="BI133"/>
  <c r="BH133"/>
  <c r="BG133"/>
  <c r="BF133"/>
  <c r="BE133"/>
  <c r="BD133"/>
  <c r="BC133"/>
  <c r="BB133"/>
  <c r="BA133"/>
  <c r="AZ133"/>
  <c r="AY133"/>
  <c r="AX133"/>
  <c r="AW133"/>
  <c r="AV133"/>
  <c r="AU133"/>
  <c r="AT133"/>
  <c r="AS133"/>
  <c r="AR133"/>
  <c r="AQ133"/>
  <c r="AP133"/>
  <c r="AO133"/>
  <c r="AN133"/>
  <c r="AM133"/>
  <c r="AL133"/>
  <c r="AK133"/>
  <c r="AJ133"/>
  <c r="AI133"/>
  <c r="AH133"/>
  <c r="AG133"/>
  <c r="AF133"/>
  <c r="AE133"/>
  <c r="AD133"/>
  <c r="AC133"/>
  <c r="AB133"/>
  <c r="AA133"/>
  <c r="Z133"/>
  <c r="Y133"/>
  <c r="X133"/>
  <c r="W133"/>
  <c r="V133"/>
  <c r="U133"/>
  <c r="T133"/>
  <c r="S133"/>
  <c r="R133"/>
  <c r="Q133"/>
  <c r="P133"/>
  <c r="O133"/>
  <c r="N133"/>
  <c r="M133"/>
  <c r="L133"/>
  <c r="K133"/>
  <c r="J133"/>
  <c r="I133"/>
  <c r="H133"/>
  <c r="G133"/>
  <c r="F133"/>
  <c r="E133"/>
  <c r="D133"/>
  <c r="C133"/>
  <c r="B133"/>
  <c r="A133"/>
  <c r="BS132"/>
  <c r="BR132"/>
  <c r="BQ132"/>
  <c r="BP132"/>
  <c r="BO132"/>
  <c r="BN132"/>
  <c r="BM132"/>
  <c r="BL132"/>
  <c r="BK132"/>
  <c r="BJ132"/>
  <c r="BI132"/>
  <c r="BH132"/>
  <c r="BG132"/>
  <c r="BF132"/>
  <c r="BE132"/>
  <c r="BD132"/>
  <c r="BC132"/>
  <c r="BB132"/>
  <c r="BA132"/>
  <c r="AZ132"/>
  <c r="AY132"/>
  <c r="AX132"/>
  <c r="AW132"/>
  <c r="AV132"/>
  <c r="AU132"/>
  <c r="AT132"/>
  <c r="AS132"/>
  <c r="AR132"/>
  <c r="AQ132"/>
  <c r="AP132"/>
  <c r="AO132"/>
  <c r="AN132"/>
  <c r="AM132"/>
  <c r="AL132"/>
  <c r="AK132"/>
  <c r="AJ132"/>
  <c r="AI132"/>
  <c r="AH132"/>
  <c r="AG132"/>
  <c r="AF132"/>
  <c r="AE132"/>
  <c r="AD132"/>
  <c r="AC132"/>
  <c r="AB132"/>
  <c r="AA132"/>
  <c r="Z132"/>
  <c r="Y132"/>
  <c r="X132"/>
  <c r="W132"/>
  <c r="V132"/>
  <c r="U132"/>
  <c r="T132"/>
  <c r="S132"/>
  <c r="R132"/>
  <c r="Q132"/>
  <c r="P132"/>
  <c r="O132"/>
  <c r="N132"/>
  <c r="M132"/>
  <c r="L132"/>
  <c r="K132"/>
  <c r="J132"/>
  <c r="I132"/>
  <c r="H132"/>
  <c r="G132"/>
  <c r="F132"/>
  <c r="E132"/>
  <c r="D132"/>
  <c r="C132"/>
  <c r="B132"/>
  <c r="A132"/>
  <c r="BS131"/>
  <c r="BR131"/>
  <c r="BQ131"/>
  <c r="BP131"/>
  <c r="BO131"/>
  <c r="BN131"/>
  <c r="BM131"/>
  <c r="BL131"/>
  <c r="BK131"/>
  <c r="BJ131"/>
  <c r="BI131"/>
  <c r="BH131"/>
  <c r="BG131"/>
  <c r="BF131"/>
  <c r="BE131"/>
  <c r="BD131"/>
  <c r="BC131"/>
  <c r="BB131"/>
  <c r="BA131"/>
  <c r="AZ131"/>
  <c r="AY131"/>
  <c r="AX131"/>
  <c r="AW131"/>
  <c r="AV131"/>
  <c r="AU131"/>
  <c r="AT131"/>
  <c r="AS131"/>
  <c r="AR131"/>
  <c r="AQ131"/>
  <c r="AP131"/>
  <c r="AO131"/>
  <c r="AN131"/>
  <c r="AM131"/>
  <c r="AL131"/>
  <c r="AK131"/>
  <c r="AJ131"/>
  <c r="AI131"/>
  <c r="AH131"/>
  <c r="AG131"/>
  <c r="AF131"/>
  <c r="AE131"/>
  <c r="AD131"/>
  <c r="AC131"/>
  <c r="AB131"/>
  <c r="AA131"/>
  <c r="Z131"/>
  <c r="Y131"/>
  <c r="X131"/>
  <c r="W131"/>
  <c r="V131"/>
  <c r="U131"/>
  <c r="T131"/>
  <c r="S131"/>
  <c r="R131"/>
  <c r="Q131"/>
  <c r="P131"/>
  <c r="O131"/>
  <c r="N131"/>
  <c r="M131"/>
  <c r="L131"/>
  <c r="K131"/>
  <c r="J131"/>
  <c r="I131"/>
  <c r="H131"/>
  <c r="G131"/>
  <c r="F131"/>
  <c r="E131"/>
  <c r="D131"/>
  <c r="C131"/>
  <c r="B131"/>
  <c r="A131"/>
  <c r="BS130"/>
  <c r="BR130"/>
  <c r="BQ130"/>
  <c r="BP130"/>
  <c r="BO130"/>
  <c r="BN130"/>
  <c r="BM130"/>
  <c r="BL130"/>
  <c r="BK130"/>
  <c r="BJ130"/>
  <c r="BI130"/>
  <c r="BH130"/>
  <c r="BG130"/>
  <c r="BF130"/>
  <c r="BE130"/>
  <c r="BD130"/>
  <c r="BC130"/>
  <c r="BB130"/>
  <c r="BA130"/>
  <c r="AZ130"/>
  <c r="AY130"/>
  <c r="AX130"/>
  <c r="AW130"/>
  <c r="AV130"/>
  <c r="AU130"/>
  <c r="AT130"/>
  <c r="AS130"/>
  <c r="AR130"/>
  <c r="AQ130"/>
  <c r="AP130"/>
  <c r="AO130"/>
  <c r="AN130"/>
  <c r="AM130"/>
  <c r="AL130"/>
  <c r="AK130"/>
  <c r="AJ130"/>
  <c r="AI130"/>
  <c r="AH130"/>
  <c r="AG130"/>
  <c r="AF130"/>
  <c r="AE130"/>
  <c r="AD130"/>
  <c r="AC130"/>
  <c r="AB130"/>
  <c r="AA130"/>
  <c r="Z130"/>
  <c r="Y130"/>
  <c r="X130"/>
  <c r="W130"/>
  <c r="V130"/>
  <c r="U130"/>
  <c r="T130"/>
  <c r="S130"/>
  <c r="R130"/>
  <c r="Q130"/>
  <c r="P130"/>
  <c r="O130"/>
  <c r="N130"/>
  <c r="M130"/>
  <c r="L130"/>
  <c r="K130"/>
  <c r="J130"/>
  <c r="I130"/>
  <c r="H130"/>
  <c r="G130"/>
  <c r="F130"/>
  <c r="E130"/>
  <c r="D130"/>
  <c r="C130"/>
  <c r="B130"/>
  <c r="A130"/>
  <c r="BS129"/>
  <c r="BR129"/>
  <c r="BQ129"/>
  <c r="BP129"/>
  <c r="BO129"/>
  <c r="BN129"/>
  <c r="BM129"/>
  <c r="BL129"/>
  <c r="BK129"/>
  <c r="BJ129"/>
  <c r="BI129"/>
  <c r="BH129"/>
  <c r="BG129"/>
  <c r="BF129"/>
  <c r="BE129"/>
  <c r="BD129"/>
  <c r="BC129"/>
  <c r="BB129"/>
  <c r="BA129"/>
  <c r="AZ129"/>
  <c r="AY129"/>
  <c r="AX129"/>
  <c r="AW129"/>
  <c r="AV129"/>
  <c r="AU129"/>
  <c r="AT129"/>
  <c r="AS129"/>
  <c r="AR129"/>
  <c r="AQ129"/>
  <c r="AP129"/>
  <c r="AO129"/>
  <c r="AN129"/>
  <c r="AM129"/>
  <c r="AL129"/>
  <c r="AK129"/>
  <c r="AJ129"/>
  <c r="AI129"/>
  <c r="AH129"/>
  <c r="AG129"/>
  <c r="AF129"/>
  <c r="AE129"/>
  <c r="AD129"/>
  <c r="AC129"/>
  <c r="AB129"/>
  <c r="AA129"/>
  <c r="Z129"/>
  <c r="Y129"/>
  <c r="X129"/>
  <c r="W129"/>
  <c r="V129"/>
  <c r="U129"/>
  <c r="T129"/>
  <c r="S129"/>
  <c r="R129"/>
  <c r="Q129"/>
  <c r="P129"/>
  <c r="O129"/>
  <c r="N129"/>
  <c r="M129"/>
  <c r="L129"/>
  <c r="K129"/>
  <c r="J129"/>
  <c r="I129"/>
  <c r="H129"/>
  <c r="G129"/>
  <c r="F129"/>
  <c r="E129"/>
  <c r="D129"/>
  <c r="C129"/>
  <c r="B129"/>
  <c r="A129"/>
  <c r="BS128"/>
  <c r="BR128"/>
  <c r="BQ128"/>
  <c r="BP128"/>
  <c r="BO128"/>
  <c r="BN128"/>
  <c r="BM128"/>
  <c r="BL128"/>
  <c r="BK128"/>
  <c r="BJ128"/>
  <c r="BI128"/>
  <c r="BH128"/>
  <c r="BG128"/>
  <c r="BF128"/>
  <c r="BE128"/>
  <c r="BD128"/>
  <c r="BC128"/>
  <c r="BB128"/>
  <c r="BA128"/>
  <c r="AZ128"/>
  <c r="AY128"/>
  <c r="AX128"/>
  <c r="AW128"/>
  <c r="AV128"/>
  <c r="AU128"/>
  <c r="AT128"/>
  <c r="AS128"/>
  <c r="AR128"/>
  <c r="AQ128"/>
  <c r="AP128"/>
  <c r="AO128"/>
  <c r="AN128"/>
  <c r="AM128"/>
  <c r="AL128"/>
  <c r="AK128"/>
  <c r="AJ128"/>
  <c r="AI128"/>
  <c r="AH128"/>
  <c r="AG128"/>
  <c r="AF128"/>
  <c r="AE128"/>
  <c r="AD128"/>
  <c r="AC128"/>
  <c r="AB128"/>
  <c r="AA128"/>
  <c r="Z128"/>
  <c r="Y128"/>
  <c r="X128"/>
  <c r="W128"/>
  <c r="V128"/>
  <c r="U128"/>
  <c r="T128"/>
  <c r="S128"/>
  <c r="R128"/>
  <c r="Q128"/>
  <c r="P128"/>
  <c r="O128"/>
  <c r="N128"/>
  <c r="M128"/>
  <c r="L128"/>
  <c r="K128"/>
  <c r="J128"/>
  <c r="I128"/>
  <c r="H128"/>
  <c r="G128"/>
  <c r="F128"/>
  <c r="E128"/>
  <c r="D128"/>
  <c r="C128"/>
  <c r="B128"/>
  <c r="A128"/>
  <c r="BS127"/>
  <c r="BR127"/>
  <c r="BQ127"/>
  <c r="BP127"/>
  <c r="BO127"/>
  <c r="BN127"/>
  <c r="BM127"/>
  <c r="BL127"/>
  <c r="BK127"/>
  <c r="BJ127"/>
  <c r="BI127"/>
  <c r="BH127"/>
  <c r="BG127"/>
  <c r="BF127"/>
  <c r="BE127"/>
  <c r="BD127"/>
  <c r="BC127"/>
  <c r="BB127"/>
  <c r="BA127"/>
  <c r="AZ127"/>
  <c r="AY127"/>
  <c r="AX127"/>
  <c r="AW127"/>
  <c r="AV127"/>
  <c r="AU127"/>
  <c r="AT127"/>
  <c r="AS127"/>
  <c r="AR127"/>
  <c r="AQ127"/>
  <c r="AP127"/>
  <c r="AO127"/>
  <c r="AN127"/>
  <c r="AM127"/>
  <c r="AL127"/>
  <c r="AK127"/>
  <c r="AJ127"/>
  <c r="AI127"/>
  <c r="AH127"/>
  <c r="AG127"/>
  <c r="AF127"/>
  <c r="AE127"/>
  <c r="AD127"/>
  <c r="AC127"/>
  <c r="AB127"/>
  <c r="AA127"/>
  <c r="Z127"/>
  <c r="Y127"/>
  <c r="X127"/>
  <c r="W127"/>
  <c r="V127"/>
  <c r="U127"/>
  <c r="T127"/>
  <c r="S127"/>
  <c r="R127"/>
  <c r="Q127"/>
  <c r="P127"/>
  <c r="O127"/>
  <c r="N127"/>
  <c r="M127"/>
  <c r="L127"/>
  <c r="K127"/>
  <c r="J127"/>
  <c r="I127"/>
  <c r="H127"/>
  <c r="G127"/>
  <c r="F127"/>
  <c r="E127"/>
  <c r="D127"/>
  <c r="C127"/>
  <c r="B127"/>
  <c r="A127"/>
  <c r="BS126"/>
  <c r="BR126"/>
  <c r="BQ126"/>
  <c r="BP126"/>
  <c r="BO126"/>
  <c r="BN126"/>
  <c r="BM126"/>
  <c r="BL126"/>
  <c r="BK126"/>
  <c r="BJ126"/>
  <c r="BI126"/>
  <c r="BH126"/>
  <c r="BG126"/>
  <c r="BF126"/>
  <c r="BE126"/>
  <c r="BD126"/>
  <c r="BC126"/>
  <c r="BB126"/>
  <c r="BA126"/>
  <c r="AZ126"/>
  <c r="AY126"/>
  <c r="AX126"/>
  <c r="AW126"/>
  <c r="AV126"/>
  <c r="AU126"/>
  <c r="AT126"/>
  <c r="AS126"/>
  <c r="AR126"/>
  <c r="AQ126"/>
  <c r="AP126"/>
  <c r="AO126"/>
  <c r="AN126"/>
  <c r="AM126"/>
  <c r="AL126"/>
  <c r="AK126"/>
  <c r="AJ126"/>
  <c r="AI126"/>
  <c r="AH126"/>
  <c r="AG126"/>
  <c r="AF126"/>
  <c r="AE126"/>
  <c r="AD126"/>
  <c r="AC126"/>
  <c r="AB126"/>
  <c r="AA126"/>
  <c r="Z126"/>
  <c r="Y126"/>
  <c r="X126"/>
  <c r="W126"/>
  <c r="V126"/>
  <c r="U126"/>
  <c r="T126"/>
  <c r="S126"/>
  <c r="R126"/>
  <c r="Q126"/>
  <c r="P126"/>
  <c r="O126"/>
  <c r="N126"/>
  <c r="M126"/>
  <c r="L126"/>
  <c r="K126"/>
  <c r="J126"/>
  <c r="I126"/>
  <c r="H126"/>
  <c r="G126"/>
  <c r="F126"/>
  <c r="E126"/>
  <c r="D126"/>
  <c r="C126"/>
  <c r="B126"/>
  <c r="A126"/>
  <c r="BS125"/>
  <c r="BR125"/>
  <c r="BQ125"/>
  <c r="BP125"/>
  <c r="BO125"/>
  <c r="BN125"/>
  <c r="BM125"/>
  <c r="BL125"/>
  <c r="BK125"/>
  <c r="BJ125"/>
  <c r="BI125"/>
  <c r="BH125"/>
  <c r="BG125"/>
  <c r="BF125"/>
  <c r="BE125"/>
  <c r="BD125"/>
  <c r="BC125"/>
  <c r="BB125"/>
  <c r="BA125"/>
  <c r="AZ125"/>
  <c r="AY125"/>
  <c r="AX125"/>
  <c r="AW125"/>
  <c r="AV125"/>
  <c r="AU125"/>
  <c r="AT125"/>
  <c r="AS125"/>
  <c r="AR125"/>
  <c r="AQ125"/>
  <c r="AP125"/>
  <c r="AO125"/>
  <c r="AN125"/>
  <c r="AM125"/>
  <c r="AL125"/>
  <c r="AK125"/>
  <c r="AJ125"/>
  <c r="AI125"/>
  <c r="AH125"/>
  <c r="AG125"/>
  <c r="AF125"/>
  <c r="AE125"/>
  <c r="AD125"/>
  <c r="AC125"/>
  <c r="AB125"/>
  <c r="AA125"/>
  <c r="Z125"/>
  <c r="Y125"/>
  <c r="X125"/>
  <c r="W125"/>
  <c r="V125"/>
  <c r="U125"/>
  <c r="T125"/>
  <c r="S125"/>
  <c r="R125"/>
  <c r="Q125"/>
  <c r="P125"/>
  <c r="O125"/>
  <c r="N125"/>
  <c r="M125"/>
  <c r="L125"/>
  <c r="K125"/>
  <c r="J125"/>
  <c r="I125"/>
  <c r="H125"/>
  <c r="G125"/>
  <c r="F125"/>
  <c r="E125"/>
  <c r="D125"/>
  <c r="C125"/>
  <c r="B125"/>
  <c r="A125"/>
  <c r="BS124"/>
  <c r="BR124"/>
  <c r="BQ124"/>
  <c r="BP124"/>
  <c r="BO124"/>
  <c r="BN124"/>
  <c r="BM124"/>
  <c r="BL124"/>
  <c r="BK124"/>
  <c r="BJ124"/>
  <c r="BI124"/>
  <c r="BH124"/>
  <c r="BG124"/>
  <c r="BF124"/>
  <c r="BE124"/>
  <c r="BD124"/>
  <c r="BC124"/>
  <c r="BB124"/>
  <c r="BA124"/>
  <c r="AZ124"/>
  <c r="AY124"/>
  <c r="AX124"/>
  <c r="AW124"/>
  <c r="AV124"/>
  <c r="AU124"/>
  <c r="AT124"/>
  <c r="AS124"/>
  <c r="AR124"/>
  <c r="AQ124"/>
  <c r="AP124"/>
  <c r="AO124"/>
  <c r="AN124"/>
  <c r="AM124"/>
  <c r="AL124"/>
  <c r="AK124"/>
  <c r="AJ124"/>
  <c r="AI124"/>
  <c r="AH124"/>
  <c r="AG124"/>
  <c r="AF124"/>
  <c r="AE124"/>
  <c r="AD124"/>
  <c r="AC124"/>
  <c r="AB124"/>
  <c r="AA124"/>
  <c r="Z124"/>
  <c r="Y124"/>
  <c r="X124"/>
  <c r="W124"/>
  <c r="V124"/>
  <c r="U124"/>
  <c r="T124"/>
  <c r="S124"/>
  <c r="R124"/>
  <c r="Q124"/>
  <c r="P124"/>
  <c r="O124"/>
  <c r="N124"/>
  <c r="M124"/>
  <c r="L124"/>
  <c r="K124"/>
  <c r="J124"/>
  <c r="I124"/>
  <c r="H124"/>
  <c r="G124"/>
  <c r="F124"/>
  <c r="E124"/>
  <c r="D124"/>
  <c r="C124"/>
  <c r="B124"/>
  <c r="A124"/>
  <c r="BS123"/>
  <c r="BR123"/>
  <c r="BQ123"/>
  <c r="BP123"/>
  <c r="BO123"/>
  <c r="BN123"/>
  <c r="BM123"/>
  <c r="BL123"/>
  <c r="BK123"/>
  <c r="BJ123"/>
  <c r="BI123"/>
  <c r="BH123"/>
  <c r="BG123"/>
  <c r="BF123"/>
  <c r="BE123"/>
  <c r="BD123"/>
  <c r="BC123"/>
  <c r="BB123"/>
  <c r="BA123"/>
  <c r="AZ123"/>
  <c r="AY123"/>
  <c r="AX123"/>
  <c r="AW123"/>
  <c r="AV123"/>
  <c r="AU123"/>
  <c r="AT123"/>
  <c r="AS123"/>
  <c r="AR123"/>
  <c r="AQ123"/>
  <c r="AP123"/>
  <c r="AO123"/>
  <c r="AN123"/>
  <c r="AM123"/>
  <c r="AL123"/>
  <c r="AK123"/>
  <c r="AJ123"/>
  <c r="AI123"/>
  <c r="AH123"/>
  <c r="AG123"/>
  <c r="AF123"/>
  <c r="AE123"/>
  <c r="AD123"/>
  <c r="AC123"/>
  <c r="AB123"/>
  <c r="AA123"/>
  <c r="Z123"/>
  <c r="Y123"/>
  <c r="X123"/>
  <c r="W123"/>
  <c r="V123"/>
  <c r="U123"/>
  <c r="T123"/>
  <c r="S123"/>
  <c r="R123"/>
  <c r="Q123"/>
  <c r="P123"/>
  <c r="O123"/>
  <c r="N123"/>
  <c r="M123"/>
  <c r="L123"/>
  <c r="K123"/>
  <c r="J123"/>
  <c r="I123"/>
  <c r="H123"/>
  <c r="G123"/>
  <c r="F123"/>
  <c r="E123"/>
  <c r="D123"/>
  <c r="C123"/>
  <c r="B123"/>
  <c r="A123"/>
  <c r="BS122"/>
  <c r="BR122"/>
  <c r="BQ122"/>
  <c r="BP122"/>
  <c r="BO122"/>
  <c r="BN122"/>
  <c r="BM122"/>
  <c r="BL122"/>
  <c r="BK122"/>
  <c r="BJ122"/>
  <c r="BI122"/>
  <c r="BH122"/>
  <c r="BG122"/>
  <c r="BF122"/>
  <c r="BE122"/>
  <c r="BD122"/>
  <c r="BC122"/>
  <c r="BB122"/>
  <c r="BA122"/>
  <c r="AZ122"/>
  <c r="AY122"/>
  <c r="AX122"/>
  <c r="AW122"/>
  <c r="AV122"/>
  <c r="AU122"/>
  <c r="AT122"/>
  <c r="AS122"/>
  <c r="AR122"/>
  <c r="AQ122"/>
  <c r="AP122"/>
  <c r="AO122"/>
  <c r="AN122"/>
  <c r="AM122"/>
  <c r="AL122"/>
  <c r="AK122"/>
  <c r="AJ122"/>
  <c r="AI122"/>
  <c r="AH122"/>
  <c r="AG122"/>
  <c r="AF122"/>
  <c r="AE122"/>
  <c r="AD122"/>
  <c r="AC122"/>
  <c r="AB122"/>
  <c r="AA122"/>
  <c r="Z122"/>
  <c r="Y122"/>
  <c r="X122"/>
  <c r="W122"/>
  <c r="V122"/>
  <c r="U122"/>
  <c r="T122"/>
  <c r="S122"/>
  <c r="R122"/>
  <c r="Q122"/>
  <c r="P122"/>
  <c r="O122"/>
  <c r="N122"/>
  <c r="M122"/>
  <c r="L122"/>
  <c r="K122"/>
  <c r="J122"/>
  <c r="I122"/>
  <c r="H122"/>
  <c r="G122"/>
  <c r="F122"/>
  <c r="E122"/>
  <c r="D122"/>
  <c r="C122"/>
  <c r="B122"/>
  <c r="A122"/>
  <c r="BS121"/>
  <c r="BR121"/>
  <c r="BQ121"/>
  <c r="BP121"/>
  <c r="BO121"/>
  <c r="BN121"/>
  <c r="BM121"/>
  <c r="BL121"/>
  <c r="BK121"/>
  <c r="BJ121"/>
  <c r="BI121"/>
  <c r="BH121"/>
  <c r="BG121"/>
  <c r="BF121"/>
  <c r="BE121"/>
  <c r="BD121"/>
  <c r="BC121"/>
  <c r="BB121"/>
  <c r="BA121"/>
  <c r="AZ121"/>
  <c r="AY121"/>
  <c r="AX121"/>
  <c r="AW121"/>
  <c r="AV121"/>
  <c r="AU121"/>
  <c r="AT121"/>
  <c r="AS121"/>
  <c r="AR121"/>
  <c r="AQ121"/>
  <c r="AP121"/>
  <c r="AO121"/>
  <c r="AN121"/>
  <c r="AM121"/>
  <c r="AL121"/>
  <c r="AK121"/>
  <c r="AJ121"/>
  <c r="AI121"/>
  <c r="AH121"/>
  <c r="AG121"/>
  <c r="AF121"/>
  <c r="AE121"/>
  <c r="AD121"/>
  <c r="AC121"/>
  <c r="AB121"/>
  <c r="AA121"/>
  <c r="Z121"/>
  <c r="Y121"/>
  <c r="X121"/>
  <c r="W121"/>
  <c r="V121"/>
  <c r="U121"/>
  <c r="T121"/>
  <c r="S121"/>
  <c r="R121"/>
  <c r="Q121"/>
  <c r="P121"/>
  <c r="O121"/>
  <c r="N121"/>
  <c r="M121"/>
  <c r="L121"/>
  <c r="K121"/>
  <c r="J121"/>
  <c r="I121"/>
  <c r="H121"/>
  <c r="G121"/>
  <c r="F121"/>
  <c r="E121"/>
  <c r="D121"/>
  <c r="C121"/>
  <c r="B121"/>
  <c r="A121"/>
  <c r="BS120"/>
  <c r="BR120"/>
  <c r="BQ120"/>
  <c r="BP120"/>
  <c r="BO120"/>
  <c r="BN120"/>
  <c r="BM120"/>
  <c r="BL120"/>
  <c r="BK120"/>
  <c r="BJ120"/>
  <c r="BI120"/>
  <c r="BH120"/>
  <c r="BG120"/>
  <c r="BF120"/>
  <c r="BE120"/>
  <c r="BD120"/>
  <c r="BC120"/>
  <c r="BB120"/>
  <c r="BA120"/>
  <c r="AZ120"/>
  <c r="AY120"/>
  <c r="AX120"/>
  <c r="AW120"/>
  <c r="AV120"/>
  <c r="AU120"/>
  <c r="AT120"/>
  <c r="AS120"/>
  <c r="AR120"/>
  <c r="AQ120"/>
  <c r="AP120"/>
  <c r="AO120"/>
  <c r="AN120"/>
  <c r="AM120"/>
  <c r="AL120"/>
  <c r="AK120"/>
  <c r="AJ120"/>
  <c r="AI120"/>
  <c r="AH120"/>
  <c r="AG120"/>
  <c r="AF120"/>
  <c r="AE120"/>
  <c r="AD120"/>
  <c r="AC120"/>
  <c r="AB120"/>
  <c r="AA120"/>
  <c r="Z120"/>
  <c r="Y120"/>
  <c r="X120"/>
  <c r="W120"/>
  <c r="V120"/>
  <c r="U120"/>
  <c r="T120"/>
  <c r="S120"/>
  <c r="R120"/>
  <c r="Q120"/>
  <c r="P120"/>
  <c r="O120"/>
  <c r="N120"/>
  <c r="M120"/>
  <c r="L120"/>
  <c r="K120"/>
  <c r="J120"/>
  <c r="I120"/>
  <c r="H120"/>
  <c r="G120"/>
  <c r="F120"/>
  <c r="E120"/>
  <c r="D120"/>
  <c r="C120"/>
  <c r="B120"/>
  <c r="A120"/>
  <c r="BS119"/>
  <c r="BR119"/>
  <c r="BQ119"/>
  <c r="BP119"/>
  <c r="BO119"/>
  <c r="BN119"/>
  <c r="BM119"/>
  <c r="BL119"/>
  <c r="BK119"/>
  <c r="BJ119"/>
  <c r="BI119"/>
  <c r="BH119"/>
  <c r="BG119"/>
  <c r="BF119"/>
  <c r="BE119"/>
  <c r="BD119"/>
  <c r="BC119"/>
  <c r="BB119"/>
  <c r="BA119"/>
  <c r="AZ119"/>
  <c r="AY119"/>
  <c r="AX119"/>
  <c r="AW119"/>
  <c r="AV119"/>
  <c r="AU119"/>
  <c r="AT119"/>
  <c r="AS119"/>
  <c r="AR119"/>
  <c r="AQ119"/>
  <c r="AP119"/>
  <c r="AO119"/>
  <c r="AN119"/>
  <c r="AM119"/>
  <c r="AL119"/>
  <c r="AK119"/>
  <c r="AJ119"/>
  <c r="AI119"/>
  <c r="AH119"/>
  <c r="AG119"/>
  <c r="AF119"/>
  <c r="AE119"/>
  <c r="AD119"/>
  <c r="AC119"/>
  <c r="AB119"/>
  <c r="AA119"/>
  <c r="Z119"/>
  <c r="Y119"/>
  <c r="X119"/>
  <c r="W119"/>
  <c r="V119"/>
  <c r="U119"/>
  <c r="T119"/>
  <c r="S119"/>
  <c r="R119"/>
  <c r="Q119"/>
  <c r="P119"/>
  <c r="O119"/>
  <c r="N119"/>
  <c r="M119"/>
  <c r="L119"/>
  <c r="K119"/>
  <c r="J119"/>
  <c r="I119"/>
  <c r="H119"/>
  <c r="G119"/>
  <c r="F119"/>
  <c r="E119"/>
  <c r="D119"/>
  <c r="C119"/>
  <c r="B119"/>
  <c r="A119"/>
  <c r="BS118"/>
  <c r="BR118"/>
  <c r="BQ118"/>
  <c r="BP118"/>
  <c r="BO118"/>
  <c r="BN118"/>
  <c r="BM118"/>
  <c r="BL118"/>
  <c r="BK118"/>
  <c r="BJ118"/>
  <c r="BI118"/>
  <c r="BH118"/>
  <c r="BG118"/>
  <c r="BF118"/>
  <c r="BE118"/>
  <c r="BD118"/>
  <c r="BC118"/>
  <c r="BB118"/>
  <c r="BA118"/>
  <c r="AZ118"/>
  <c r="AY118"/>
  <c r="AX118"/>
  <c r="AW118"/>
  <c r="AV118"/>
  <c r="AU118"/>
  <c r="AT118"/>
  <c r="AS118"/>
  <c r="AR118"/>
  <c r="AQ118"/>
  <c r="AP118"/>
  <c r="AO118"/>
  <c r="AN118"/>
  <c r="AM118"/>
  <c r="AL118"/>
  <c r="AK118"/>
  <c r="AJ118"/>
  <c r="AI118"/>
  <c r="AH118"/>
  <c r="AG118"/>
  <c r="AF118"/>
  <c r="AE118"/>
  <c r="AD118"/>
  <c r="AC118"/>
  <c r="AB118"/>
  <c r="AA118"/>
  <c r="Z118"/>
  <c r="Y118"/>
  <c r="X118"/>
  <c r="W118"/>
  <c r="V118"/>
  <c r="U118"/>
  <c r="T118"/>
  <c r="S118"/>
  <c r="R118"/>
  <c r="Q118"/>
  <c r="P118"/>
  <c r="O118"/>
  <c r="N118"/>
  <c r="M118"/>
  <c r="L118"/>
  <c r="K118"/>
  <c r="J118"/>
  <c r="I118"/>
  <c r="H118"/>
  <c r="G118"/>
  <c r="F118"/>
  <c r="E118"/>
  <c r="D118"/>
  <c r="C118"/>
  <c r="B118"/>
  <c r="A118"/>
  <c r="BS117"/>
  <c r="BR117"/>
  <c r="BQ117"/>
  <c r="BP117"/>
  <c r="BO117"/>
  <c r="BN117"/>
  <c r="BM117"/>
  <c r="BL117"/>
  <c r="BK117"/>
  <c r="BJ117"/>
  <c r="BI117"/>
  <c r="BH117"/>
  <c r="BG117"/>
  <c r="BF117"/>
  <c r="BE117"/>
  <c r="BD117"/>
  <c r="BC117"/>
  <c r="BB117"/>
  <c r="BA117"/>
  <c r="AZ117"/>
  <c r="AY117"/>
  <c r="AX117"/>
  <c r="AW117"/>
  <c r="AV117"/>
  <c r="AU117"/>
  <c r="AT117"/>
  <c r="AS117"/>
  <c r="AR117"/>
  <c r="AQ117"/>
  <c r="AP117"/>
  <c r="AO117"/>
  <c r="AN117"/>
  <c r="AM117"/>
  <c r="AL117"/>
  <c r="AK117"/>
  <c r="AJ117"/>
  <c r="AI117"/>
  <c r="AH117"/>
  <c r="AG117"/>
  <c r="AF117"/>
  <c r="AE117"/>
  <c r="AD117"/>
  <c r="AC117"/>
  <c r="AB117"/>
  <c r="AA117"/>
  <c r="Z117"/>
  <c r="Y117"/>
  <c r="X117"/>
  <c r="W117"/>
  <c r="V117"/>
  <c r="U117"/>
  <c r="T117"/>
  <c r="S117"/>
  <c r="R117"/>
  <c r="Q117"/>
  <c r="P117"/>
  <c r="O117"/>
  <c r="N117"/>
  <c r="M117"/>
  <c r="L117"/>
  <c r="K117"/>
  <c r="J117"/>
  <c r="I117"/>
  <c r="H117"/>
  <c r="G117"/>
  <c r="F117"/>
  <c r="E117"/>
  <c r="D117"/>
  <c r="C117"/>
  <c r="B117"/>
  <c r="A117"/>
  <c r="BS116"/>
  <c r="BR116"/>
  <c r="BQ116"/>
  <c r="BP116"/>
  <c r="BO116"/>
  <c r="BN116"/>
  <c r="BM116"/>
  <c r="BL116"/>
  <c r="BK116"/>
  <c r="BJ116"/>
  <c r="BI116"/>
  <c r="BH116"/>
  <c r="BG116"/>
  <c r="BF116"/>
  <c r="BE116"/>
  <c r="BD116"/>
  <c r="BC116"/>
  <c r="BB116"/>
  <c r="BA116"/>
  <c r="AZ116"/>
  <c r="AY116"/>
  <c r="AX116"/>
  <c r="AW116"/>
  <c r="AV116"/>
  <c r="AU116"/>
  <c r="AT116"/>
  <c r="AS116"/>
  <c r="AR116"/>
  <c r="AQ116"/>
  <c r="AP116"/>
  <c r="AO116"/>
  <c r="AN116"/>
  <c r="AM116"/>
  <c r="AL116"/>
  <c r="AK116"/>
  <c r="AJ116"/>
  <c r="AI116"/>
  <c r="AH116"/>
  <c r="AG116"/>
  <c r="AF116"/>
  <c r="AE116"/>
  <c r="AD116"/>
  <c r="AC116"/>
  <c r="AB116"/>
  <c r="AA116"/>
  <c r="Z116"/>
  <c r="Y116"/>
  <c r="X116"/>
  <c r="W116"/>
  <c r="V116"/>
  <c r="U116"/>
  <c r="T116"/>
  <c r="S116"/>
  <c r="R116"/>
  <c r="Q116"/>
  <c r="P116"/>
  <c r="O116"/>
  <c r="N116"/>
  <c r="M116"/>
  <c r="L116"/>
  <c r="K116"/>
  <c r="J116"/>
  <c r="I116"/>
  <c r="H116"/>
  <c r="G116"/>
  <c r="F116"/>
  <c r="E116"/>
  <c r="D116"/>
  <c r="C116"/>
  <c r="B116"/>
  <c r="A116"/>
  <c r="BS115"/>
  <c r="BR115"/>
  <c r="BQ115"/>
  <c r="BP115"/>
  <c r="BO115"/>
  <c r="BN115"/>
  <c r="BM115"/>
  <c r="BL115"/>
  <c r="BK115"/>
  <c r="BJ115"/>
  <c r="BI115"/>
  <c r="BH115"/>
  <c r="BG115"/>
  <c r="BF115"/>
  <c r="BE115"/>
  <c r="BD115"/>
  <c r="BC115"/>
  <c r="BB115"/>
  <c r="BA115"/>
  <c r="AZ115"/>
  <c r="AY115"/>
  <c r="AX115"/>
  <c r="AW115"/>
  <c r="AV115"/>
  <c r="AU115"/>
  <c r="AT115"/>
  <c r="AS115"/>
  <c r="AR115"/>
  <c r="AQ115"/>
  <c r="AP115"/>
  <c r="AO115"/>
  <c r="AN115"/>
  <c r="AM115"/>
  <c r="AL115"/>
  <c r="AK115"/>
  <c r="AJ115"/>
  <c r="AI115"/>
  <c r="AH115"/>
  <c r="AG115"/>
  <c r="AF115"/>
  <c r="AE115"/>
  <c r="AD115"/>
  <c r="AC115"/>
  <c r="AB115"/>
  <c r="AA115"/>
  <c r="Z115"/>
  <c r="Y115"/>
  <c r="X115"/>
  <c r="W115"/>
  <c r="V115"/>
  <c r="U115"/>
  <c r="T115"/>
  <c r="S115"/>
  <c r="R115"/>
  <c r="Q115"/>
  <c r="P115"/>
  <c r="O115"/>
  <c r="N115"/>
  <c r="M115"/>
  <c r="L115"/>
  <c r="K115"/>
  <c r="J115"/>
  <c r="I115"/>
  <c r="H115"/>
  <c r="G115"/>
  <c r="F115"/>
  <c r="E115"/>
  <c r="D115"/>
  <c r="C115"/>
  <c r="B115"/>
  <c r="A115"/>
  <c r="BS114"/>
  <c r="BR114"/>
  <c r="BQ114"/>
  <c r="BP114"/>
  <c r="BO114"/>
  <c r="BN114"/>
  <c r="BM114"/>
  <c r="BL114"/>
  <c r="BK114"/>
  <c r="BJ114"/>
  <c r="BI114"/>
  <c r="BH114"/>
  <c r="BG114"/>
  <c r="BF114"/>
  <c r="BE114"/>
  <c r="BD114"/>
  <c r="BC114"/>
  <c r="BB114"/>
  <c r="BA114"/>
  <c r="AZ114"/>
  <c r="AY114"/>
  <c r="AX114"/>
  <c r="AW114"/>
  <c r="AV114"/>
  <c r="AU114"/>
  <c r="AT114"/>
  <c r="AS114"/>
  <c r="AR114"/>
  <c r="AQ114"/>
  <c r="AP114"/>
  <c r="AO114"/>
  <c r="AN114"/>
  <c r="AM114"/>
  <c r="AL114"/>
  <c r="AK114"/>
  <c r="AJ114"/>
  <c r="AI114"/>
  <c r="AH114"/>
  <c r="AG114"/>
  <c r="AF114"/>
  <c r="AE114"/>
  <c r="AD114"/>
  <c r="AC114"/>
  <c r="AB114"/>
  <c r="AA114"/>
  <c r="Z114"/>
  <c r="Y114"/>
  <c r="X114"/>
  <c r="W114"/>
  <c r="V114"/>
  <c r="U114"/>
  <c r="T114"/>
  <c r="S114"/>
  <c r="R114"/>
  <c r="Q114"/>
  <c r="P114"/>
  <c r="O114"/>
  <c r="N114"/>
  <c r="M114"/>
  <c r="L114"/>
  <c r="K114"/>
  <c r="J114"/>
  <c r="I114"/>
  <c r="H114"/>
  <c r="G114"/>
  <c r="F114"/>
  <c r="E114"/>
  <c r="D114"/>
  <c r="C114"/>
  <c r="B114"/>
  <c r="A114"/>
  <c r="BS113"/>
  <c r="BR113"/>
  <c r="BQ113"/>
  <c r="BP113"/>
  <c r="BO113"/>
  <c r="BN113"/>
  <c r="BM113"/>
  <c r="BL113"/>
  <c r="BK113"/>
  <c r="BJ113"/>
  <c r="BI113"/>
  <c r="BH113"/>
  <c r="BG113"/>
  <c r="BF113"/>
  <c r="BE113"/>
  <c r="BD113"/>
  <c r="BC113"/>
  <c r="BB113"/>
  <c r="BA113"/>
  <c r="AZ113"/>
  <c r="AY113"/>
  <c r="AX113"/>
  <c r="AW113"/>
  <c r="AV113"/>
  <c r="AU113"/>
  <c r="AT113"/>
  <c r="AS113"/>
  <c r="AR113"/>
  <c r="AQ113"/>
  <c r="AP113"/>
  <c r="AO113"/>
  <c r="AN113"/>
  <c r="AM113"/>
  <c r="AL113"/>
  <c r="AK113"/>
  <c r="AJ113"/>
  <c r="AI113"/>
  <c r="AH113"/>
  <c r="AG113"/>
  <c r="AF113"/>
  <c r="AE113"/>
  <c r="AD113"/>
  <c r="AC113"/>
  <c r="AB113"/>
  <c r="AA113"/>
  <c r="Z113"/>
  <c r="Y113"/>
  <c r="X113"/>
  <c r="W113"/>
  <c r="V113"/>
  <c r="U113"/>
  <c r="T113"/>
  <c r="S113"/>
  <c r="R113"/>
  <c r="Q113"/>
  <c r="P113"/>
  <c r="O113"/>
  <c r="N113"/>
  <c r="M113"/>
  <c r="L113"/>
  <c r="K113"/>
  <c r="J113"/>
  <c r="I113"/>
  <c r="H113"/>
  <c r="G113"/>
  <c r="F113"/>
  <c r="E113"/>
  <c r="D113"/>
  <c r="C113"/>
  <c r="B113"/>
  <c r="A113"/>
  <c r="BS112"/>
  <c r="BR112"/>
  <c r="BQ112"/>
  <c r="BP112"/>
  <c r="BO112"/>
  <c r="BN112"/>
  <c r="BM112"/>
  <c r="BL112"/>
  <c r="BK112"/>
  <c r="BJ112"/>
  <c r="BI112"/>
  <c r="BH112"/>
  <c r="BG112"/>
  <c r="BF112"/>
  <c r="BE112"/>
  <c r="BD112"/>
  <c r="BC112"/>
  <c r="BB112"/>
  <c r="BA112"/>
  <c r="AZ112"/>
  <c r="AY112"/>
  <c r="AX112"/>
  <c r="AW112"/>
  <c r="AV112"/>
  <c r="AU112"/>
  <c r="AT112"/>
  <c r="AS112"/>
  <c r="AR112"/>
  <c r="AQ112"/>
  <c r="AP112"/>
  <c r="AO112"/>
  <c r="AN112"/>
  <c r="AM112"/>
  <c r="AL112"/>
  <c r="AK112"/>
  <c r="AJ112"/>
  <c r="AI112"/>
  <c r="AH112"/>
  <c r="AG112"/>
  <c r="AF112"/>
  <c r="AE112"/>
  <c r="AD112"/>
  <c r="AC112"/>
  <c r="AB112"/>
  <c r="AA112"/>
  <c r="Z112"/>
  <c r="Y112"/>
  <c r="X112"/>
  <c r="W112"/>
  <c r="V112"/>
  <c r="U112"/>
  <c r="T112"/>
  <c r="S112"/>
  <c r="R112"/>
  <c r="Q112"/>
  <c r="P112"/>
  <c r="O112"/>
  <c r="N112"/>
  <c r="M112"/>
  <c r="L112"/>
  <c r="K112"/>
  <c r="J112"/>
  <c r="I112"/>
  <c r="H112"/>
  <c r="G112"/>
  <c r="F112"/>
  <c r="E112"/>
  <c r="D112"/>
  <c r="C112"/>
  <c r="B112"/>
  <c r="A112"/>
  <c r="BS111"/>
  <c r="BR111"/>
  <c r="BQ111"/>
  <c r="BP111"/>
  <c r="BO111"/>
  <c r="BN111"/>
  <c r="BM111"/>
  <c r="BL111"/>
  <c r="BK111"/>
  <c r="BJ111"/>
  <c r="BI111"/>
  <c r="BH111"/>
  <c r="BG111"/>
  <c r="BF111"/>
  <c r="BE111"/>
  <c r="BD111"/>
  <c r="BC111"/>
  <c r="BB111"/>
  <c r="BA111"/>
  <c r="AZ111"/>
  <c r="AY111"/>
  <c r="AX111"/>
  <c r="AW111"/>
  <c r="AV111"/>
  <c r="AU111"/>
  <c r="AT111"/>
  <c r="AS111"/>
  <c r="AR111"/>
  <c r="AQ111"/>
  <c r="AP111"/>
  <c r="AO111"/>
  <c r="AN111"/>
  <c r="AM111"/>
  <c r="AL111"/>
  <c r="AK111"/>
  <c r="AJ111"/>
  <c r="AI111"/>
  <c r="AH111"/>
  <c r="AG111"/>
  <c r="AF111"/>
  <c r="AE111"/>
  <c r="AD111"/>
  <c r="AC111"/>
  <c r="AB111"/>
  <c r="AA111"/>
  <c r="Z111"/>
  <c r="Y111"/>
  <c r="X111"/>
  <c r="W111"/>
  <c r="V111"/>
  <c r="U111"/>
  <c r="T111"/>
  <c r="S111"/>
  <c r="R111"/>
  <c r="Q111"/>
  <c r="P111"/>
  <c r="O111"/>
  <c r="N111"/>
  <c r="M111"/>
  <c r="L111"/>
  <c r="K111"/>
  <c r="J111"/>
  <c r="I111"/>
  <c r="H111"/>
  <c r="G111"/>
  <c r="F111"/>
  <c r="E111"/>
  <c r="D111"/>
  <c r="C111"/>
  <c r="B111"/>
  <c r="A111"/>
  <c r="BS110"/>
  <c r="BR110"/>
  <c r="BQ110"/>
  <c r="BP110"/>
  <c r="BO110"/>
  <c r="BN110"/>
  <c r="BM110"/>
  <c r="BL110"/>
  <c r="BK110"/>
  <c r="BJ110"/>
  <c r="BI110"/>
  <c r="BH110"/>
  <c r="BG110"/>
  <c r="BF110"/>
  <c r="BE110"/>
  <c r="BD110"/>
  <c r="BC110"/>
  <c r="BB110"/>
  <c r="BA110"/>
  <c r="AZ110"/>
  <c r="AY110"/>
  <c r="AX110"/>
  <c r="AW110"/>
  <c r="AV110"/>
  <c r="AU110"/>
  <c r="AT110"/>
  <c r="AS110"/>
  <c r="AR110"/>
  <c r="AQ110"/>
  <c r="AP110"/>
  <c r="AO110"/>
  <c r="AN110"/>
  <c r="AM110"/>
  <c r="AL110"/>
  <c r="AK110"/>
  <c r="AJ110"/>
  <c r="AI110"/>
  <c r="AH110"/>
  <c r="AG110"/>
  <c r="AF110"/>
  <c r="AE110"/>
  <c r="AD110"/>
  <c r="AC110"/>
  <c r="AB110"/>
  <c r="AA110"/>
  <c r="Z110"/>
  <c r="Y110"/>
  <c r="X110"/>
  <c r="W110"/>
  <c r="V110"/>
  <c r="U110"/>
  <c r="T110"/>
  <c r="S110"/>
  <c r="R110"/>
  <c r="Q110"/>
  <c r="P110"/>
  <c r="O110"/>
  <c r="N110"/>
  <c r="M110"/>
  <c r="L110"/>
  <c r="K110"/>
  <c r="J110"/>
  <c r="I110"/>
  <c r="H110"/>
  <c r="G110"/>
  <c r="F110"/>
  <c r="E110"/>
  <c r="D110"/>
  <c r="C110"/>
  <c r="B110"/>
  <c r="A110"/>
  <c r="BS109"/>
  <c r="BR109"/>
  <c r="BQ109"/>
  <c r="BP109"/>
  <c r="BO109"/>
  <c r="BN109"/>
  <c r="BM109"/>
  <c r="BL109"/>
  <c r="BK109"/>
  <c r="BJ109"/>
  <c r="BI109"/>
  <c r="BH109"/>
  <c r="BG109"/>
  <c r="BF109"/>
  <c r="BE109"/>
  <c r="BD109"/>
  <c r="BC109"/>
  <c r="BB109"/>
  <c r="BA109"/>
  <c r="AZ109"/>
  <c r="AY109"/>
  <c r="AX109"/>
  <c r="AW109"/>
  <c r="AV109"/>
  <c r="AU109"/>
  <c r="AT109"/>
  <c r="AS109"/>
  <c r="AR109"/>
  <c r="AQ109"/>
  <c r="AP109"/>
  <c r="AO109"/>
  <c r="AN109"/>
  <c r="AM109"/>
  <c r="AL109"/>
  <c r="AK109"/>
  <c r="AJ109"/>
  <c r="AI109"/>
  <c r="AH109"/>
  <c r="AG109"/>
  <c r="AF109"/>
  <c r="AE109"/>
  <c r="AD109"/>
  <c r="AC109"/>
  <c r="AB109"/>
  <c r="AA109"/>
  <c r="Z109"/>
  <c r="Y109"/>
  <c r="X109"/>
  <c r="W109"/>
  <c r="V109"/>
  <c r="U109"/>
  <c r="T109"/>
  <c r="S109"/>
  <c r="R109"/>
  <c r="Q109"/>
  <c r="P109"/>
  <c r="O109"/>
  <c r="N109"/>
  <c r="M109"/>
  <c r="L109"/>
  <c r="K109"/>
  <c r="J109"/>
  <c r="I109"/>
  <c r="H109"/>
  <c r="G109"/>
  <c r="F109"/>
  <c r="E109"/>
  <c r="D109"/>
  <c r="C109"/>
  <c r="B109"/>
  <c r="A109"/>
  <c r="BS108"/>
  <c r="BR108"/>
  <c r="BQ108"/>
  <c r="BP108"/>
  <c r="BO108"/>
  <c r="BN108"/>
  <c r="BM108"/>
  <c r="BL108"/>
  <c r="BK108"/>
  <c r="BJ108"/>
  <c r="BI108"/>
  <c r="BH108"/>
  <c r="BG108"/>
  <c r="BF108"/>
  <c r="BE108"/>
  <c r="BD108"/>
  <c r="BC108"/>
  <c r="BB108"/>
  <c r="BA108"/>
  <c r="AZ108"/>
  <c r="AY108"/>
  <c r="AX108"/>
  <c r="AW108"/>
  <c r="AV108"/>
  <c r="AU108"/>
  <c r="AT108"/>
  <c r="AS108"/>
  <c r="AR108"/>
  <c r="AQ108"/>
  <c r="AP108"/>
  <c r="AO108"/>
  <c r="AN108"/>
  <c r="AM108"/>
  <c r="AL108"/>
  <c r="AK108"/>
  <c r="AJ108"/>
  <c r="AI108"/>
  <c r="AH108"/>
  <c r="AG108"/>
  <c r="AF108"/>
  <c r="AE108"/>
  <c r="AD108"/>
  <c r="AC108"/>
  <c r="AB108"/>
  <c r="AA108"/>
  <c r="Z108"/>
  <c r="Y108"/>
  <c r="X108"/>
  <c r="W108"/>
  <c r="V108"/>
  <c r="U108"/>
  <c r="T108"/>
  <c r="S108"/>
  <c r="R108"/>
  <c r="Q108"/>
  <c r="P108"/>
  <c r="O108"/>
  <c r="N108"/>
  <c r="M108"/>
  <c r="L108"/>
  <c r="K108"/>
  <c r="J108"/>
  <c r="I108"/>
  <c r="H108"/>
  <c r="G108"/>
  <c r="F108"/>
  <c r="E108"/>
  <c r="D108"/>
  <c r="C108"/>
  <c r="B108"/>
  <c r="A108"/>
  <c r="BS107"/>
  <c r="BR107"/>
  <c r="BQ107"/>
  <c r="BP107"/>
  <c r="BO107"/>
  <c r="BN107"/>
  <c r="BM107"/>
  <c r="BL107"/>
  <c r="BK107"/>
  <c r="BJ107"/>
  <c r="BI107"/>
  <c r="BH107"/>
  <c r="BG107"/>
  <c r="BF107"/>
  <c r="BE107"/>
  <c r="BD107"/>
  <c r="BC107"/>
  <c r="BB107"/>
  <c r="BA107"/>
  <c r="AZ107"/>
  <c r="AY107"/>
  <c r="AX107"/>
  <c r="AW107"/>
  <c r="AV107"/>
  <c r="AU107"/>
  <c r="AT107"/>
  <c r="AS107"/>
  <c r="AR107"/>
  <c r="AQ107"/>
  <c r="AP107"/>
  <c r="AO107"/>
  <c r="AN107"/>
  <c r="AM107"/>
  <c r="AL107"/>
  <c r="AK107"/>
  <c r="AJ107"/>
  <c r="AI107"/>
  <c r="AH107"/>
  <c r="AG107"/>
  <c r="AF107"/>
  <c r="AE107"/>
  <c r="AD107"/>
  <c r="AC107"/>
  <c r="AB107"/>
  <c r="AA107"/>
  <c r="Z107"/>
  <c r="Y107"/>
  <c r="X107"/>
  <c r="W107"/>
  <c r="V107"/>
  <c r="U107"/>
  <c r="T107"/>
  <c r="S107"/>
  <c r="R107"/>
  <c r="Q107"/>
  <c r="P107"/>
  <c r="O107"/>
  <c r="N107"/>
  <c r="M107"/>
  <c r="L107"/>
  <c r="K107"/>
  <c r="J107"/>
  <c r="I107"/>
  <c r="H107"/>
  <c r="G107"/>
  <c r="F107"/>
  <c r="E107"/>
  <c r="D107"/>
  <c r="C107"/>
  <c r="B107"/>
  <c r="A107"/>
  <c r="BS106"/>
  <c r="BR106"/>
  <c r="BQ106"/>
  <c r="BP106"/>
  <c r="BO106"/>
  <c r="BN106"/>
  <c r="BM106"/>
  <c r="BL106"/>
  <c r="BK106"/>
  <c r="BJ106"/>
  <c r="BI106"/>
  <c r="BH106"/>
  <c r="BG106"/>
  <c r="BF106"/>
  <c r="BE106"/>
  <c r="BD106"/>
  <c r="BC106"/>
  <c r="BB106"/>
  <c r="BA106"/>
  <c r="AZ106"/>
  <c r="AY106"/>
  <c r="AX106"/>
  <c r="AW106"/>
  <c r="AV106"/>
  <c r="AU106"/>
  <c r="AT106"/>
  <c r="AS106"/>
  <c r="AR106"/>
  <c r="AQ106"/>
  <c r="AP106"/>
  <c r="AO106"/>
  <c r="AN106"/>
  <c r="AM106"/>
  <c r="AL106"/>
  <c r="AK106"/>
  <c r="AJ106"/>
  <c r="AI106"/>
  <c r="AH106"/>
  <c r="AG106"/>
  <c r="AF106"/>
  <c r="AE106"/>
  <c r="AD106"/>
  <c r="AC106"/>
  <c r="AB106"/>
  <c r="AA106"/>
  <c r="Z106"/>
  <c r="Y106"/>
  <c r="X106"/>
  <c r="W106"/>
  <c r="V106"/>
  <c r="U106"/>
  <c r="T106"/>
  <c r="S106"/>
  <c r="R106"/>
  <c r="Q106"/>
  <c r="P106"/>
  <c r="O106"/>
  <c r="N106"/>
  <c r="M106"/>
  <c r="L106"/>
  <c r="K106"/>
  <c r="J106"/>
  <c r="I106"/>
  <c r="H106"/>
  <c r="G106"/>
  <c r="F106"/>
  <c r="E106"/>
  <c r="D106"/>
  <c r="C106"/>
  <c r="B106"/>
  <c r="A106"/>
  <c r="BS105"/>
  <c r="BR105"/>
  <c r="BQ105"/>
  <c r="BP105"/>
  <c r="BO105"/>
  <c r="BN105"/>
  <c r="BM105"/>
  <c r="BL105"/>
  <c r="BK105"/>
  <c r="BJ105"/>
  <c r="BI105"/>
  <c r="BH105"/>
  <c r="BG105"/>
  <c r="BF105"/>
  <c r="BE105"/>
  <c r="BD105"/>
  <c r="BC105"/>
  <c r="BB105"/>
  <c r="BA105"/>
  <c r="AZ105"/>
  <c r="AY105"/>
  <c r="AX105"/>
  <c r="AW105"/>
  <c r="AV105"/>
  <c r="AU105"/>
  <c r="AT105"/>
  <c r="AS105"/>
  <c r="AR105"/>
  <c r="AQ105"/>
  <c r="AP105"/>
  <c r="AO105"/>
  <c r="AN105"/>
  <c r="AM105"/>
  <c r="AL105"/>
  <c r="AK105"/>
  <c r="AJ105"/>
  <c r="AI105"/>
  <c r="AH105"/>
  <c r="AG105"/>
  <c r="AF105"/>
  <c r="AE105"/>
  <c r="AD105"/>
  <c r="AC105"/>
  <c r="AB105"/>
  <c r="AA105"/>
  <c r="Z105"/>
  <c r="Y105"/>
  <c r="X105"/>
  <c r="W105"/>
  <c r="V105"/>
  <c r="U105"/>
  <c r="T105"/>
  <c r="S105"/>
  <c r="R105"/>
  <c r="Q105"/>
  <c r="P105"/>
  <c r="O105"/>
  <c r="N105"/>
  <c r="M105"/>
  <c r="L105"/>
  <c r="K105"/>
  <c r="J105"/>
  <c r="I105"/>
  <c r="H105"/>
  <c r="G105"/>
  <c r="F105"/>
  <c r="E105"/>
  <c r="D105"/>
  <c r="C105"/>
  <c r="B105"/>
  <c r="A105"/>
  <c r="BS104"/>
  <c r="BR104"/>
  <c r="BQ104"/>
  <c r="BP104"/>
  <c r="BO104"/>
  <c r="BN104"/>
  <c r="BM104"/>
  <c r="BL104"/>
  <c r="BK104"/>
  <c r="BJ104"/>
  <c r="BI104"/>
  <c r="BH104"/>
  <c r="BG104"/>
  <c r="BF104"/>
  <c r="BE104"/>
  <c r="BD104"/>
  <c r="BC104"/>
  <c r="BB104"/>
  <c r="BA104"/>
  <c r="AZ104"/>
  <c r="AY104"/>
  <c r="AX104"/>
  <c r="AW104"/>
  <c r="AV104"/>
  <c r="AU104"/>
  <c r="AT104"/>
  <c r="AS104"/>
  <c r="AR104"/>
  <c r="AQ104"/>
  <c r="AP104"/>
  <c r="AO104"/>
  <c r="AN104"/>
  <c r="AM104"/>
  <c r="AL104"/>
  <c r="AK104"/>
  <c r="AJ104"/>
  <c r="AI104"/>
  <c r="AH104"/>
  <c r="AG104"/>
  <c r="AF104"/>
  <c r="AE104"/>
  <c r="AD104"/>
  <c r="AC104"/>
  <c r="AB104"/>
  <c r="AA104"/>
  <c r="Z104"/>
  <c r="Y104"/>
  <c r="X104"/>
  <c r="W104"/>
  <c r="V104"/>
  <c r="T104"/>
  <c r="R104"/>
  <c r="Q104"/>
  <c r="P104"/>
  <c r="O104"/>
  <c r="N104"/>
  <c r="M104"/>
  <c r="L104"/>
  <c r="K104"/>
  <c r="J104"/>
  <c r="I104"/>
  <c r="H104"/>
  <c r="G104"/>
  <c r="F104"/>
  <c r="E104"/>
  <c r="D104"/>
  <c r="C104"/>
  <c r="B104"/>
  <c r="A104"/>
  <c r="BS103"/>
  <c r="BR103"/>
  <c r="BQ103"/>
  <c r="BP103"/>
  <c r="BO103"/>
  <c r="BN103"/>
  <c r="BM103"/>
  <c r="BL103"/>
  <c r="BK103"/>
  <c r="BJ103"/>
  <c r="BI103"/>
  <c r="BH103"/>
  <c r="BG103"/>
  <c r="BF103"/>
  <c r="BE103"/>
  <c r="BD103"/>
  <c r="BC103"/>
  <c r="BB103"/>
  <c r="BA103"/>
  <c r="AZ103"/>
  <c r="AY103"/>
  <c r="AX103"/>
  <c r="AW103"/>
  <c r="AV103"/>
  <c r="AU103"/>
  <c r="AT103"/>
  <c r="AS103"/>
  <c r="AR103"/>
  <c r="AQ103"/>
  <c r="AP103"/>
  <c r="AO103"/>
  <c r="AN103"/>
  <c r="AM103"/>
  <c r="AL103"/>
  <c r="AK103"/>
  <c r="AJ103"/>
  <c r="AI103"/>
  <c r="AH103"/>
  <c r="AG103"/>
  <c r="AF103"/>
  <c r="AE103"/>
  <c r="AD103"/>
  <c r="AC103"/>
  <c r="AB103"/>
  <c r="AA103"/>
  <c r="Z103"/>
  <c r="Y103"/>
  <c r="X103"/>
  <c r="W103"/>
  <c r="V103"/>
  <c r="U103"/>
  <c r="T103"/>
  <c r="S103"/>
  <c r="R103"/>
  <c r="Q103"/>
  <c r="P103"/>
  <c r="O103"/>
  <c r="N103"/>
  <c r="M103"/>
  <c r="L103"/>
  <c r="K103"/>
  <c r="J103"/>
  <c r="I103"/>
  <c r="H103"/>
  <c r="G103"/>
  <c r="F103"/>
  <c r="E103"/>
  <c r="D103"/>
  <c r="C103"/>
  <c r="B103"/>
  <c r="A103"/>
  <c r="BS102"/>
  <c r="BR102"/>
  <c r="BQ102"/>
  <c r="BP102"/>
  <c r="BO102"/>
  <c r="BN102"/>
  <c r="BM102"/>
  <c r="BL102"/>
  <c r="BK102"/>
  <c r="BJ102"/>
  <c r="BI102"/>
  <c r="BH102"/>
  <c r="BG102"/>
  <c r="BF102"/>
  <c r="BE102"/>
  <c r="BD102"/>
  <c r="BC102"/>
  <c r="BB102"/>
  <c r="BA102"/>
  <c r="AZ102"/>
  <c r="AY102"/>
  <c r="AX102"/>
  <c r="AW102"/>
  <c r="AV102"/>
  <c r="AU102"/>
  <c r="AT102"/>
  <c r="AS102"/>
  <c r="AR102"/>
  <c r="AQ102"/>
  <c r="AP102"/>
  <c r="AO102"/>
  <c r="AN102"/>
  <c r="AM102"/>
  <c r="AL102"/>
  <c r="AK102"/>
  <c r="AJ102"/>
  <c r="AI102"/>
  <c r="AH102"/>
  <c r="AG102"/>
  <c r="AF102"/>
  <c r="AE102"/>
  <c r="AD102"/>
  <c r="AC102"/>
  <c r="AB102"/>
  <c r="AA102"/>
  <c r="Z102"/>
  <c r="Y102"/>
  <c r="X102"/>
  <c r="W102"/>
  <c r="V102"/>
  <c r="U102"/>
  <c r="T102"/>
  <c r="S102"/>
  <c r="R102"/>
  <c r="Q102"/>
  <c r="P102"/>
  <c r="O102"/>
  <c r="N102"/>
  <c r="M102"/>
  <c r="L102"/>
  <c r="K102"/>
  <c r="J102"/>
  <c r="I102"/>
  <c r="H102"/>
  <c r="G102"/>
  <c r="F102"/>
  <c r="E102"/>
  <c r="D102"/>
  <c r="C102"/>
  <c r="B102"/>
  <c r="A102"/>
  <c r="BS101"/>
  <c r="BR101"/>
  <c r="BQ101"/>
  <c r="BP101"/>
  <c r="BO101"/>
  <c r="BN101"/>
  <c r="BM101"/>
  <c r="BL101"/>
  <c r="BK101"/>
  <c r="BJ101"/>
  <c r="BI101"/>
  <c r="BH101"/>
  <c r="BG101"/>
  <c r="BF101"/>
  <c r="BE101"/>
  <c r="BD101"/>
  <c r="BC101"/>
  <c r="BB101"/>
  <c r="BA101"/>
  <c r="AZ101"/>
  <c r="AY101"/>
  <c r="AX101"/>
  <c r="AW101"/>
  <c r="AV101"/>
  <c r="AU101"/>
  <c r="AT101"/>
  <c r="AS101"/>
  <c r="AR101"/>
  <c r="AQ101"/>
  <c r="AP101"/>
  <c r="AO101"/>
  <c r="AN101"/>
  <c r="AM101"/>
  <c r="AL101"/>
  <c r="AK101"/>
  <c r="AJ101"/>
  <c r="AI101"/>
  <c r="AH101"/>
  <c r="AG101"/>
  <c r="AF101"/>
  <c r="AE101"/>
  <c r="AD101"/>
  <c r="AC101"/>
  <c r="AB101"/>
  <c r="AA101"/>
  <c r="Z101"/>
  <c r="Y101"/>
  <c r="X101"/>
  <c r="W101"/>
  <c r="V101"/>
  <c r="U101"/>
  <c r="T101"/>
  <c r="S101"/>
  <c r="R101"/>
  <c r="Q101"/>
  <c r="P101"/>
  <c r="O101"/>
  <c r="N101"/>
  <c r="M101"/>
  <c r="L101"/>
  <c r="K101"/>
  <c r="J101"/>
  <c r="I101"/>
  <c r="H101"/>
  <c r="G101"/>
  <c r="F101"/>
  <c r="E101"/>
  <c r="D101"/>
  <c r="C101"/>
  <c r="B101"/>
  <c r="A101"/>
  <c r="BS100"/>
  <c r="BR100"/>
  <c r="BQ100"/>
  <c r="BP100"/>
  <c r="BO100"/>
  <c r="BN100"/>
  <c r="BM100"/>
  <c r="BL100"/>
  <c r="BK100"/>
  <c r="BJ100"/>
  <c r="BI100"/>
  <c r="BH100"/>
  <c r="BG100"/>
  <c r="BF100"/>
  <c r="BE100"/>
  <c r="BD100"/>
  <c r="BC100"/>
  <c r="BB100"/>
  <c r="BA100"/>
  <c r="AZ100"/>
  <c r="AY100"/>
  <c r="AX100"/>
  <c r="AW100"/>
  <c r="AV100"/>
  <c r="AU100"/>
  <c r="AT100"/>
  <c r="AS100"/>
  <c r="AR100"/>
  <c r="AQ100"/>
  <c r="AP100"/>
  <c r="AO100"/>
  <c r="AN100"/>
  <c r="AM100"/>
  <c r="AL100"/>
  <c r="AK100"/>
  <c r="AJ100"/>
  <c r="AI100"/>
  <c r="AH100"/>
  <c r="AG100"/>
  <c r="AF100"/>
  <c r="AE100"/>
  <c r="AD100"/>
  <c r="AC100"/>
  <c r="AB100"/>
  <c r="AA100"/>
  <c r="Z100"/>
  <c r="Y100"/>
  <c r="X100"/>
  <c r="W100"/>
  <c r="V100"/>
  <c r="T100"/>
  <c r="S100"/>
  <c r="R100"/>
  <c r="Q100"/>
  <c r="P100"/>
  <c r="O100"/>
  <c r="N100"/>
  <c r="M100"/>
  <c r="L100"/>
  <c r="K100"/>
  <c r="J100"/>
  <c r="I100"/>
  <c r="H100"/>
  <c r="G100"/>
  <c r="F100"/>
  <c r="E100"/>
  <c r="D100"/>
  <c r="C100"/>
  <c r="B100"/>
  <c r="A100"/>
  <c r="BS99"/>
  <c r="BR99"/>
  <c r="BQ99"/>
  <c r="BP99"/>
  <c r="BO99"/>
  <c r="BN99"/>
  <c r="BM99"/>
  <c r="BL99"/>
  <c r="BK99"/>
  <c r="BJ99"/>
  <c r="BI99"/>
  <c r="BH99"/>
  <c r="BG99"/>
  <c r="BF99"/>
  <c r="BE99"/>
  <c r="BD99"/>
  <c r="BC99"/>
  <c r="BB99"/>
  <c r="BA99"/>
  <c r="AZ99"/>
  <c r="AY99"/>
  <c r="AX99"/>
  <c r="AW99"/>
  <c r="AV99"/>
  <c r="AU99"/>
  <c r="AT99"/>
  <c r="AS99"/>
  <c r="AR99"/>
  <c r="AQ99"/>
  <c r="AP99"/>
  <c r="AO99"/>
  <c r="AN99"/>
  <c r="AM99"/>
  <c r="AL99"/>
  <c r="AK99"/>
  <c r="AJ99"/>
  <c r="AI99"/>
  <c r="AH99"/>
  <c r="AG99"/>
  <c r="AF99"/>
  <c r="AE99"/>
  <c r="AD99"/>
  <c r="AC99"/>
  <c r="AB99"/>
  <c r="AA99"/>
  <c r="Z99"/>
  <c r="Y99"/>
  <c r="X99"/>
  <c r="W99"/>
  <c r="V99"/>
  <c r="U99"/>
  <c r="T99"/>
  <c r="S99"/>
  <c r="R99"/>
  <c r="Q99"/>
  <c r="P99"/>
  <c r="O99"/>
  <c r="N99"/>
  <c r="M99"/>
  <c r="L99"/>
  <c r="K99"/>
  <c r="J99"/>
  <c r="I99"/>
  <c r="H99"/>
  <c r="G99"/>
  <c r="E99"/>
  <c r="C99"/>
  <c r="B99"/>
  <c r="A99"/>
  <c r="BS98"/>
  <c r="BR98"/>
  <c r="BQ98"/>
  <c r="BP98"/>
  <c r="BO98"/>
  <c r="BN98"/>
  <c r="BM98"/>
  <c r="BL98"/>
  <c r="BK98"/>
  <c r="BJ98"/>
  <c r="BI98"/>
  <c r="BH98"/>
  <c r="BG98"/>
  <c r="BF98"/>
  <c r="BE98"/>
  <c r="BD98"/>
  <c r="BC98"/>
  <c r="BB98"/>
  <c r="BA98"/>
  <c r="AZ98"/>
  <c r="AY98"/>
  <c r="AX98"/>
  <c r="AW98"/>
  <c r="AV98"/>
  <c r="AU98"/>
  <c r="AT98"/>
  <c r="AS98"/>
  <c r="AR98"/>
  <c r="AQ98"/>
  <c r="AP98"/>
  <c r="AO98"/>
  <c r="AN98"/>
  <c r="AM98"/>
  <c r="AL98"/>
  <c r="AK98"/>
  <c r="AJ98"/>
  <c r="AI98"/>
  <c r="AH98"/>
  <c r="AG98"/>
  <c r="AF98"/>
  <c r="AE98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A98"/>
  <c r="BS97"/>
  <c r="BR97"/>
  <c r="BQ97"/>
  <c r="BP97"/>
  <c r="BO97"/>
  <c r="BN97"/>
  <c r="BM97"/>
  <c r="BL97"/>
  <c r="BK97"/>
  <c r="BJ97"/>
  <c r="BI97"/>
  <c r="BH97"/>
  <c r="BG97"/>
  <c r="BF97"/>
  <c r="BE97"/>
  <c r="BD97"/>
  <c r="BC97"/>
  <c r="BB97"/>
  <c r="BA97"/>
  <c r="AZ97"/>
  <c r="AY97"/>
  <c r="AX97"/>
  <c r="AW97"/>
  <c r="AV97"/>
  <c r="AU97"/>
  <c r="AT97"/>
  <c r="AS97"/>
  <c r="AR97"/>
  <c r="AQ97"/>
  <c r="AP97"/>
  <c r="AO97"/>
  <c r="AN97"/>
  <c r="AM97"/>
  <c r="AL97"/>
  <c r="AK97"/>
  <c r="AJ97"/>
  <c r="AI97"/>
  <c r="AH97"/>
  <c r="AG97"/>
  <c r="AF97"/>
  <c r="AE97"/>
  <c r="AD97"/>
  <c r="AC97"/>
  <c r="AB97"/>
  <c r="AA97"/>
  <c r="Z97"/>
  <c r="Y97"/>
  <c r="X97"/>
  <c r="W97"/>
  <c r="V97"/>
  <c r="T97"/>
  <c r="R97"/>
  <c r="Q97"/>
  <c r="P97"/>
  <c r="O97"/>
  <c r="N97"/>
  <c r="M97"/>
  <c r="L97"/>
  <c r="K97"/>
  <c r="J97"/>
  <c r="I97"/>
  <c r="H97"/>
  <c r="G97"/>
  <c r="F97"/>
  <c r="E97"/>
  <c r="D97"/>
  <c r="C97"/>
  <c r="B97"/>
  <c r="A97"/>
  <c r="BS96"/>
  <c r="BR96"/>
  <c r="BQ96"/>
  <c r="BP96"/>
  <c r="BO96"/>
  <c r="BN96"/>
  <c r="BM96"/>
  <c r="BL96"/>
  <c r="BK96"/>
  <c r="BJ96"/>
  <c r="BI96"/>
  <c r="BH96"/>
  <c r="BG96"/>
  <c r="BF96"/>
  <c r="BE96"/>
  <c r="BD96"/>
  <c r="BC96"/>
  <c r="BB96"/>
  <c r="BA96"/>
  <c r="AZ96"/>
  <c r="AY96"/>
  <c r="AX96"/>
  <c r="AW96"/>
  <c r="AV96"/>
  <c r="AU96"/>
  <c r="AT96"/>
  <c r="AS96"/>
  <c r="AR96"/>
  <c r="AQ96"/>
  <c r="AP96"/>
  <c r="AO96"/>
  <c r="AN96"/>
  <c r="AM96"/>
  <c r="AL96"/>
  <c r="AK96"/>
  <c r="AJ96"/>
  <c r="AI96"/>
  <c r="AH96"/>
  <c r="AG96"/>
  <c r="AF96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A96"/>
  <c r="BS95"/>
  <c r="BR95"/>
  <c r="BQ95"/>
  <c r="BP95"/>
  <c r="BO95"/>
  <c r="BN95"/>
  <c r="BM95"/>
  <c r="BL95"/>
  <c r="BK95"/>
  <c r="BJ95"/>
  <c r="BI95"/>
  <c r="BH95"/>
  <c r="BG95"/>
  <c r="BF95"/>
  <c r="BE95"/>
  <c r="BD95"/>
  <c r="BC95"/>
  <c r="BB95"/>
  <c r="BA95"/>
  <c r="AZ95"/>
  <c r="AY95"/>
  <c r="AX95"/>
  <c r="AW95"/>
  <c r="AV95"/>
  <c r="AU95"/>
  <c r="AT95"/>
  <c r="AS95"/>
  <c r="AR95"/>
  <c r="AQ95"/>
  <c r="AP95"/>
  <c r="AO95"/>
  <c r="AN95"/>
  <c r="AM95"/>
  <c r="AL95"/>
  <c r="AK95"/>
  <c r="AJ95"/>
  <c r="AI95"/>
  <c r="AH95"/>
  <c r="AG95"/>
  <c r="AF95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A95"/>
  <c r="BS94"/>
  <c r="BR94"/>
  <c r="BQ94"/>
  <c r="BP94"/>
  <c r="BO94"/>
  <c r="BN94"/>
  <c r="BM94"/>
  <c r="BL94"/>
  <c r="BK94"/>
  <c r="BJ94"/>
  <c r="BI94"/>
  <c r="BH94"/>
  <c r="BG94"/>
  <c r="BF94"/>
  <c r="BE94"/>
  <c r="BD94"/>
  <c r="BC94"/>
  <c r="BB94"/>
  <c r="BA94"/>
  <c r="AZ94"/>
  <c r="AY94"/>
  <c r="AX94"/>
  <c r="AW94"/>
  <c r="AV94"/>
  <c r="AU94"/>
  <c r="AT94"/>
  <c r="AS94"/>
  <c r="AR94"/>
  <c r="AQ94"/>
  <c r="AP94"/>
  <c r="AO94"/>
  <c r="AN94"/>
  <c r="AM94"/>
  <c r="AL94"/>
  <c r="AK94"/>
  <c r="AJ94"/>
  <c r="AI94"/>
  <c r="AH94"/>
  <c r="AG94"/>
  <c r="AF94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A94"/>
  <c r="BS93"/>
  <c r="BR93"/>
  <c r="BQ93"/>
  <c r="BP93"/>
  <c r="BO93"/>
  <c r="BN93"/>
  <c r="BM93"/>
  <c r="BL93"/>
  <c r="BK93"/>
  <c r="BJ93"/>
  <c r="BI93"/>
  <c r="BH93"/>
  <c r="BG93"/>
  <c r="BF93"/>
  <c r="BE93"/>
  <c r="BD93"/>
  <c r="BC93"/>
  <c r="BB93"/>
  <c r="BA93"/>
  <c r="AZ93"/>
  <c r="AY93"/>
  <c r="AX93"/>
  <c r="AW93"/>
  <c r="AV93"/>
  <c r="AU93"/>
  <c r="AT93"/>
  <c r="AS93"/>
  <c r="AR93"/>
  <c r="AQ93"/>
  <c r="AP93"/>
  <c r="AO93"/>
  <c r="AN93"/>
  <c r="AM93"/>
  <c r="AL93"/>
  <c r="AK93"/>
  <c r="AJ93"/>
  <c r="AI93"/>
  <c r="AH93"/>
  <c r="AG93"/>
  <c r="AF93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A93"/>
  <c r="BS92"/>
  <c r="BR92"/>
  <c r="BQ92"/>
  <c r="BP92"/>
  <c r="BO92"/>
  <c r="BN92"/>
  <c r="BM92"/>
  <c r="BL92"/>
  <c r="BK92"/>
  <c r="BJ92"/>
  <c r="BI92"/>
  <c r="BH92"/>
  <c r="BG92"/>
  <c r="BF92"/>
  <c r="BE92"/>
  <c r="BD92"/>
  <c r="BC92"/>
  <c r="BB92"/>
  <c r="BA92"/>
  <c r="AZ92"/>
  <c r="AY92"/>
  <c r="AX92"/>
  <c r="AW92"/>
  <c r="AV92"/>
  <c r="AU92"/>
  <c r="AT92"/>
  <c r="AS92"/>
  <c r="AR92"/>
  <c r="AQ92"/>
  <c r="AP92"/>
  <c r="AO92"/>
  <c r="AN92"/>
  <c r="AM92"/>
  <c r="AL92"/>
  <c r="AK92"/>
  <c r="AJ92"/>
  <c r="AI92"/>
  <c r="AH92"/>
  <c r="AG92"/>
  <c r="AF92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A92"/>
  <c r="BS91"/>
  <c r="BR91"/>
  <c r="BQ91"/>
  <c r="BP91"/>
  <c r="BO91"/>
  <c r="BN91"/>
  <c r="BM91"/>
  <c r="BL91"/>
  <c r="BK91"/>
  <c r="BJ91"/>
  <c r="BI91"/>
  <c r="BH91"/>
  <c r="BG91"/>
  <c r="BF91"/>
  <c r="BE91"/>
  <c r="BD91"/>
  <c r="BC91"/>
  <c r="BB91"/>
  <c r="BA91"/>
  <c r="AZ91"/>
  <c r="AY91"/>
  <c r="AX91"/>
  <c r="AW91"/>
  <c r="AV91"/>
  <c r="AU91"/>
  <c r="AT91"/>
  <c r="AS91"/>
  <c r="AR91"/>
  <c r="AM91"/>
  <c r="AL91"/>
  <c r="AK91"/>
  <c r="AJ91"/>
  <c r="AI91"/>
  <c r="AH91"/>
  <c r="AG91"/>
  <c r="AF91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B91"/>
  <c r="A91"/>
  <c r="BS90"/>
  <c r="BR90"/>
  <c r="BQ90"/>
  <c r="BP90"/>
  <c r="BO90"/>
  <c r="BN90"/>
  <c r="BM90"/>
  <c r="BL90"/>
  <c r="BK90"/>
  <c r="BJ90"/>
  <c r="BI90"/>
  <c r="BH90"/>
  <c r="BG90"/>
  <c r="BF90"/>
  <c r="BE90"/>
  <c r="BD90"/>
  <c r="BC90"/>
  <c r="BB90"/>
  <c r="BA90"/>
  <c r="AZ90"/>
  <c r="AY90"/>
  <c r="AX90"/>
  <c r="AW90"/>
  <c r="AV90"/>
  <c r="AU90"/>
  <c r="AT90"/>
  <c r="AS90"/>
  <c r="AR90"/>
  <c r="AQ90"/>
  <c r="AP90"/>
  <c r="AO90"/>
  <c r="AN90"/>
  <c r="AM90"/>
  <c r="AL90"/>
  <c r="AK90"/>
  <c r="AJ90"/>
  <c r="AI90"/>
  <c r="AH90"/>
  <c r="AG90"/>
  <c r="AF90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B90"/>
  <c r="A90"/>
  <c r="BS89"/>
  <c r="BR89"/>
  <c r="BQ89"/>
  <c r="BP89"/>
  <c r="BO89"/>
  <c r="BN89"/>
  <c r="BM89"/>
  <c r="BL89"/>
  <c r="BK89"/>
  <c r="BJ89"/>
  <c r="BI89"/>
  <c r="BH89"/>
  <c r="BG89"/>
  <c r="BF89"/>
  <c r="BE89"/>
  <c r="BD89"/>
  <c r="BC89"/>
  <c r="BB89"/>
  <c r="BA89"/>
  <c r="AZ89"/>
  <c r="AY89"/>
  <c r="AX89"/>
  <c r="AW89"/>
  <c r="AV89"/>
  <c r="AU89"/>
  <c r="AT89"/>
  <c r="AS89"/>
  <c r="AR89"/>
  <c r="AQ89"/>
  <c r="AP89"/>
  <c r="AO89"/>
  <c r="AN89"/>
  <c r="AM89"/>
  <c r="AL89"/>
  <c r="AK89"/>
  <c r="AJ89"/>
  <c r="AI89"/>
  <c r="AH89"/>
  <c r="AG89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A89"/>
  <c r="BS88"/>
  <c r="BR88"/>
  <c r="BQ88"/>
  <c r="BP88"/>
  <c r="BO88"/>
  <c r="BN88"/>
  <c r="BM88"/>
  <c r="BL88"/>
  <c r="BK88"/>
  <c r="BJ88"/>
  <c r="BI88"/>
  <c r="BH88"/>
  <c r="BG88"/>
  <c r="BF88"/>
  <c r="BE88"/>
  <c r="BD88"/>
  <c r="BC88"/>
  <c r="BB88"/>
  <c r="BA88"/>
  <c r="AZ88"/>
  <c r="AY88"/>
  <c r="AX88"/>
  <c r="AW88"/>
  <c r="AV88"/>
  <c r="AU88"/>
  <c r="AT88"/>
  <c r="AS88"/>
  <c r="AR88"/>
  <c r="AQ88"/>
  <c r="AP88"/>
  <c r="AO88"/>
  <c r="AN88"/>
  <c r="AM88"/>
  <c r="AL88"/>
  <c r="AK88"/>
  <c r="AJ88"/>
  <c r="AI88"/>
  <c r="AH88"/>
  <c r="AG88"/>
  <c r="AF88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A88"/>
  <c r="BS87"/>
  <c r="BR87"/>
  <c r="BQ87"/>
  <c r="BP87"/>
  <c r="BO87"/>
  <c r="BN87"/>
  <c r="BM87"/>
  <c r="BL87"/>
  <c r="BK87"/>
  <c r="BJ87"/>
  <c r="BI87"/>
  <c r="BH87"/>
  <c r="BG87"/>
  <c r="BF87"/>
  <c r="BE87"/>
  <c r="BD87"/>
  <c r="BC87"/>
  <c r="BB87"/>
  <c r="BA87"/>
  <c r="AZ87"/>
  <c r="AY87"/>
  <c r="AX87"/>
  <c r="AW87"/>
  <c r="AV87"/>
  <c r="AU87"/>
  <c r="AT87"/>
  <c r="AS87"/>
  <c r="AR87"/>
  <c r="AQ87"/>
  <c r="AP87"/>
  <c r="AO87"/>
  <c r="AN87"/>
  <c r="AM87"/>
  <c r="AL87"/>
  <c r="AK87"/>
  <c r="AJ87"/>
  <c r="AI87"/>
  <c r="AH87"/>
  <c r="AG87"/>
  <c r="AF87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A87"/>
  <c r="BS86"/>
  <c r="BR86"/>
  <c r="BQ86"/>
  <c r="BP86"/>
  <c r="BO86"/>
  <c r="BN86"/>
  <c r="BM86"/>
  <c r="BL86"/>
  <c r="BK86"/>
  <c r="BJ86"/>
  <c r="BI86"/>
  <c r="BH86"/>
  <c r="BG86"/>
  <c r="BF86"/>
  <c r="BE86"/>
  <c r="BD86"/>
  <c r="BC86"/>
  <c r="BB86"/>
  <c r="BA86"/>
  <c r="AZ86"/>
  <c r="AY86"/>
  <c r="AX86"/>
  <c r="AW86"/>
  <c r="AV86"/>
  <c r="AU86"/>
  <c r="AT86"/>
  <c r="AS86"/>
  <c r="AR86"/>
  <c r="AQ86"/>
  <c r="AP86"/>
  <c r="AO86"/>
  <c r="AN86"/>
  <c r="AM86"/>
  <c r="AL86"/>
  <c r="AK86"/>
  <c r="AJ86"/>
  <c r="AI86"/>
  <c r="AH86"/>
  <c r="AG86"/>
  <c r="AF86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A86"/>
  <c r="BS85"/>
  <c r="BR85"/>
  <c r="BQ85"/>
  <c r="BP85"/>
  <c r="BO85"/>
  <c r="BN85"/>
  <c r="BM85"/>
  <c r="BL85"/>
  <c r="BK85"/>
  <c r="BJ85"/>
  <c r="BI85"/>
  <c r="BH85"/>
  <c r="BG85"/>
  <c r="BF85"/>
  <c r="BE85"/>
  <c r="BD85"/>
  <c r="BC85"/>
  <c r="BB85"/>
  <c r="BA85"/>
  <c r="AZ85"/>
  <c r="AY85"/>
  <c r="AX85"/>
  <c r="AW85"/>
  <c r="AV85"/>
  <c r="AU85"/>
  <c r="AT85"/>
  <c r="AS85"/>
  <c r="AR85"/>
  <c r="AQ85"/>
  <c r="AP85"/>
  <c r="AO85"/>
  <c r="AN85"/>
  <c r="AM85"/>
  <c r="AL85"/>
  <c r="AK85"/>
  <c r="AJ85"/>
  <c r="AI85"/>
  <c r="AH85"/>
  <c r="AG85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A85"/>
  <c r="BS84"/>
  <c r="BR84"/>
  <c r="BQ84"/>
  <c r="BP84"/>
  <c r="BO84"/>
  <c r="BN84"/>
  <c r="BM84"/>
  <c r="BL84"/>
  <c r="BK84"/>
  <c r="BJ84"/>
  <c r="BI84"/>
  <c r="BH84"/>
  <c r="BG84"/>
  <c r="BF84"/>
  <c r="BE84"/>
  <c r="BD84"/>
  <c r="BC84"/>
  <c r="BB84"/>
  <c r="BA84"/>
  <c r="AZ84"/>
  <c r="AY84"/>
  <c r="AX84"/>
  <c r="AW84"/>
  <c r="AV84"/>
  <c r="AU84"/>
  <c r="AT84"/>
  <c r="AS84"/>
  <c r="AR84"/>
  <c r="AM84"/>
  <c r="AL84"/>
  <c r="AK84"/>
  <c r="AJ84"/>
  <c r="AI84"/>
  <c r="AH84"/>
  <c r="AG84"/>
  <c r="AF84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A84"/>
  <c r="BS83"/>
  <c r="BR83"/>
  <c r="BQ83"/>
  <c r="BP83"/>
  <c r="BO83"/>
  <c r="BN83"/>
  <c r="BM83"/>
  <c r="BL83"/>
  <c r="BK83"/>
  <c r="BJ83"/>
  <c r="BI83"/>
  <c r="BH83"/>
  <c r="BG83"/>
  <c r="BF83"/>
  <c r="BE83"/>
  <c r="BD83"/>
  <c r="BC83"/>
  <c r="BB83"/>
  <c r="BA83"/>
  <c r="AZ83"/>
  <c r="AY83"/>
  <c r="AX83"/>
  <c r="AW83"/>
  <c r="AV83"/>
  <c r="AU83"/>
  <c r="AT83"/>
  <c r="AS83"/>
  <c r="AR83"/>
  <c r="AQ83"/>
  <c r="AP83"/>
  <c r="AO83"/>
  <c r="AN83"/>
  <c r="AM83"/>
  <c r="AL83"/>
  <c r="AK83"/>
  <c r="AJ83"/>
  <c r="AI83"/>
  <c r="AH83"/>
  <c r="AG83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A83"/>
  <c r="BS82"/>
  <c r="BR82"/>
  <c r="BQ82"/>
  <c r="BP82"/>
  <c r="BO82"/>
  <c r="BN82"/>
  <c r="BM82"/>
  <c r="BL82"/>
  <c r="BK82"/>
  <c r="BJ82"/>
  <c r="BI82"/>
  <c r="BH82"/>
  <c r="BG82"/>
  <c r="BF82"/>
  <c r="BE82"/>
  <c r="BD82"/>
  <c r="BC82"/>
  <c r="BB82"/>
  <c r="BA82"/>
  <c r="AZ82"/>
  <c r="AY82"/>
  <c r="AX82"/>
  <c r="AW82"/>
  <c r="AV82"/>
  <c r="AU82"/>
  <c r="AT82"/>
  <c r="AS82"/>
  <c r="AR82"/>
  <c r="AQ82"/>
  <c r="AP82"/>
  <c r="AO82"/>
  <c r="AN82"/>
  <c r="AM82"/>
  <c r="AL82"/>
  <c r="AK82"/>
  <c r="AJ82"/>
  <c r="AI82"/>
  <c r="AH82"/>
  <c r="AG82"/>
  <c r="AF82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A82"/>
  <c r="BS81"/>
  <c r="BR81"/>
  <c r="BQ81"/>
  <c r="BP81"/>
  <c r="BO81"/>
  <c r="BN81"/>
  <c r="BM81"/>
  <c r="BL81"/>
  <c r="BK81"/>
  <c r="BJ81"/>
  <c r="BI81"/>
  <c r="BH81"/>
  <c r="BG81"/>
  <c r="BF81"/>
  <c r="BE81"/>
  <c r="BD81"/>
  <c r="BC81"/>
  <c r="BB81"/>
  <c r="BA81"/>
  <c r="AZ81"/>
  <c r="AY81"/>
  <c r="AX81"/>
  <c r="AW81"/>
  <c r="AV81"/>
  <c r="AU81"/>
  <c r="AT81"/>
  <c r="AS81"/>
  <c r="AR81"/>
  <c r="AQ81"/>
  <c r="AP81"/>
  <c r="AO81"/>
  <c r="AN81"/>
  <c r="AM81"/>
  <c r="AL81"/>
  <c r="AK81"/>
  <c r="AJ81"/>
  <c r="AI81"/>
  <c r="AH81"/>
  <c r="AG81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A81"/>
  <c r="BS80"/>
  <c r="BR80"/>
  <c r="BQ80"/>
  <c r="BP80"/>
  <c r="BO80"/>
  <c r="BN80"/>
  <c r="BM80"/>
  <c r="BL80"/>
  <c r="BK80"/>
  <c r="BJ80"/>
  <c r="BI80"/>
  <c r="BH80"/>
  <c r="BG80"/>
  <c r="BF80"/>
  <c r="BE80"/>
  <c r="BD80"/>
  <c r="BC80"/>
  <c r="BB80"/>
  <c r="BA80"/>
  <c r="AZ80"/>
  <c r="AY80"/>
  <c r="AX80"/>
  <c r="AW80"/>
  <c r="AV80"/>
  <c r="AU80"/>
  <c r="AT80"/>
  <c r="AS80"/>
  <c r="AR80"/>
  <c r="AQ80"/>
  <c r="AP80"/>
  <c r="AO80"/>
  <c r="AN80"/>
  <c r="AM80"/>
  <c r="AL80"/>
  <c r="AK80"/>
  <c r="AJ80"/>
  <c r="AI80"/>
  <c r="AH80"/>
  <c r="AG80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A80"/>
  <c r="BS79"/>
  <c r="BR79"/>
  <c r="BQ79"/>
  <c r="BP79"/>
  <c r="BO79"/>
  <c r="BN79"/>
  <c r="BM79"/>
  <c r="BL79"/>
  <c r="BK79"/>
  <c r="BJ79"/>
  <c r="BI79"/>
  <c r="BH79"/>
  <c r="BG79"/>
  <c r="BF79"/>
  <c r="BE79"/>
  <c r="BD79"/>
  <c r="BC79"/>
  <c r="BB79"/>
  <c r="BA79"/>
  <c r="AZ79"/>
  <c r="AY79"/>
  <c r="AX79"/>
  <c r="AW79"/>
  <c r="AV79"/>
  <c r="AU79"/>
  <c r="AT79"/>
  <c r="AS79"/>
  <c r="AR79"/>
  <c r="AQ79"/>
  <c r="AP79"/>
  <c r="AO79"/>
  <c r="AN79"/>
  <c r="AM79"/>
  <c r="AL79"/>
  <c r="AK79"/>
  <c r="AJ79"/>
  <c r="AI79"/>
  <c r="AH79"/>
  <c r="AG79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A79"/>
  <c r="BS78"/>
  <c r="BR78"/>
  <c r="BQ78"/>
  <c r="BP78"/>
  <c r="BO78"/>
  <c r="BN78"/>
  <c r="BM78"/>
  <c r="BL78"/>
  <c r="BK78"/>
  <c r="BJ78"/>
  <c r="BI78"/>
  <c r="BH78"/>
  <c r="BG78"/>
  <c r="BF78"/>
  <c r="BE78"/>
  <c r="BD78"/>
  <c r="BC78"/>
  <c r="BB78"/>
  <c r="BA78"/>
  <c r="AZ78"/>
  <c r="AY78"/>
  <c r="AX78"/>
  <c r="AW78"/>
  <c r="AV78"/>
  <c r="AU78"/>
  <c r="AT78"/>
  <c r="AS78"/>
  <c r="AR78"/>
  <c r="AM78"/>
  <c r="AL78"/>
  <c r="AK78"/>
  <c r="AJ78"/>
  <c r="AI78"/>
  <c r="AH78"/>
  <c r="AG78"/>
  <c r="AF78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A78"/>
  <c r="BS77"/>
  <c r="BR77"/>
  <c r="BQ77"/>
  <c r="BP77"/>
  <c r="BO77"/>
  <c r="BN77"/>
  <c r="BM77"/>
  <c r="BL77"/>
  <c r="BK77"/>
  <c r="BJ77"/>
  <c r="BI77"/>
  <c r="BH77"/>
  <c r="BG77"/>
  <c r="BF77"/>
  <c r="BE77"/>
  <c r="BD77"/>
  <c r="BC77"/>
  <c r="BB77"/>
  <c r="BA77"/>
  <c r="AZ77"/>
  <c r="AY77"/>
  <c r="AX77"/>
  <c r="AW77"/>
  <c r="AV77"/>
  <c r="AU77"/>
  <c r="AT77"/>
  <c r="AS77"/>
  <c r="AR77"/>
  <c r="AQ77"/>
  <c r="AP77"/>
  <c r="AO77"/>
  <c r="AN77"/>
  <c r="AM77"/>
  <c r="AL77"/>
  <c r="AK77"/>
  <c r="AJ77"/>
  <c r="AI77"/>
  <c r="AH77"/>
  <c r="AG77"/>
  <c r="AF77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A77"/>
  <c r="BS76"/>
  <c r="BR76"/>
  <c r="BQ76"/>
  <c r="BP76"/>
  <c r="BO76"/>
  <c r="BN76"/>
  <c r="BM76"/>
  <c r="BL76"/>
  <c r="BK76"/>
  <c r="BJ76"/>
  <c r="BI76"/>
  <c r="BH76"/>
  <c r="BG76"/>
  <c r="BF76"/>
  <c r="BE76"/>
  <c r="BD76"/>
  <c r="BC76"/>
  <c r="BB76"/>
  <c r="BA76"/>
  <c r="AZ76"/>
  <c r="AY76"/>
  <c r="AX76"/>
  <c r="AW76"/>
  <c r="AV76"/>
  <c r="AU76"/>
  <c r="AT76"/>
  <c r="AS76"/>
  <c r="AR76"/>
  <c r="AQ76"/>
  <c r="AP76"/>
  <c r="AO76"/>
  <c r="AN76"/>
  <c r="AM76"/>
  <c r="AL76"/>
  <c r="AK76"/>
  <c r="AJ76"/>
  <c r="AI76"/>
  <c r="AH76"/>
  <c r="AG76"/>
  <c r="AF76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A76"/>
  <c r="BS75"/>
  <c r="BR75"/>
  <c r="BQ75"/>
  <c r="BP75"/>
  <c r="BO75"/>
  <c r="BN75"/>
  <c r="BM75"/>
  <c r="BL75"/>
  <c r="BK75"/>
  <c r="BJ75"/>
  <c r="BI75"/>
  <c r="BH75"/>
  <c r="BG75"/>
  <c r="BF75"/>
  <c r="BE75"/>
  <c r="BD75"/>
  <c r="BC75"/>
  <c r="BB75"/>
  <c r="BA75"/>
  <c r="AZ75"/>
  <c r="AY75"/>
  <c r="AX75"/>
  <c r="AW75"/>
  <c r="AV75"/>
  <c r="AU75"/>
  <c r="AT75"/>
  <c r="AS75"/>
  <c r="AR75"/>
  <c r="AQ75"/>
  <c r="AP75"/>
  <c r="AO75"/>
  <c r="AN75"/>
  <c r="AM75"/>
  <c r="AL75"/>
  <c r="AK75"/>
  <c r="AJ75"/>
  <c r="AI75"/>
  <c r="AH75"/>
  <c r="AG75"/>
  <c r="AF75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A75"/>
  <c r="BS74"/>
  <c r="BR74"/>
  <c r="BQ74"/>
  <c r="BP74"/>
  <c r="BO74"/>
  <c r="BN74"/>
  <c r="BM74"/>
  <c r="BL74"/>
  <c r="BK74"/>
  <c r="BJ74"/>
  <c r="BI74"/>
  <c r="BH74"/>
  <c r="BG74"/>
  <c r="BF74"/>
  <c r="BE74"/>
  <c r="BD74"/>
  <c r="BC74"/>
  <c r="BB74"/>
  <c r="BA74"/>
  <c r="AZ74"/>
  <c r="AY74"/>
  <c r="AX74"/>
  <c r="AW74"/>
  <c r="AV74"/>
  <c r="AU74"/>
  <c r="AT74"/>
  <c r="AS74"/>
  <c r="AR74"/>
  <c r="AQ74"/>
  <c r="AP74"/>
  <c r="AO74"/>
  <c r="AN74"/>
  <c r="AM74"/>
  <c r="AL74"/>
  <c r="AK74"/>
  <c r="AJ74"/>
  <c r="AI74"/>
  <c r="AH74"/>
  <c r="AG74"/>
  <c r="AF74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A74"/>
  <c r="BS73"/>
  <c r="BR73"/>
  <c r="BQ73"/>
  <c r="BP73"/>
  <c r="BO73"/>
  <c r="BN73"/>
  <c r="BM73"/>
  <c r="BL73"/>
  <c r="BK73"/>
  <c r="BJ73"/>
  <c r="BI73"/>
  <c r="BH73"/>
  <c r="BG73"/>
  <c r="BF73"/>
  <c r="BE73"/>
  <c r="BD73"/>
  <c r="BC73"/>
  <c r="BB73"/>
  <c r="BA73"/>
  <c r="AZ73"/>
  <c r="AY73"/>
  <c r="AX73"/>
  <c r="AW73"/>
  <c r="AV73"/>
  <c r="AU73"/>
  <c r="AT73"/>
  <c r="AS73"/>
  <c r="AR73"/>
  <c r="AP73"/>
  <c r="AO73"/>
  <c r="AM73"/>
  <c r="AL73"/>
  <c r="AK73"/>
  <c r="AJ73"/>
  <c r="AI73"/>
  <c r="AH73"/>
  <c r="AG73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A73"/>
  <c r="BS72"/>
  <c r="BR72"/>
  <c r="BQ72"/>
  <c r="BP72"/>
  <c r="BO72"/>
  <c r="BN72"/>
  <c r="BM72"/>
  <c r="BL72"/>
  <c r="BK72"/>
  <c r="BJ72"/>
  <c r="BI72"/>
  <c r="BH72"/>
  <c r="BG72"/>
  <c r="BF72"/>
  <c r="BE72"/>
  <c r="BD72"/>
  <c r="BC72"/>
  <c r="BB72"/>
  <c r="BA72"/>
  <c r="AZ72"/>
  <c r="AY72"/>
  <c r="AX72"/>
  <c r="AW72"/>
  <c r="AV72"/>
  <c r="AU72"/>
  <c r="AT72"/>
  <c r="AS72"/>
  <c r="AR72"/>
  <c r="AQ72"/>
  <c r="AP72"/>
  <c r="AO72"/>
  <c r="AN72"/>
  <c r="AM72"/>
  <c r="AL72"/>
  <c r="AK72"/>
  <c r="AJ72"/>
  <c r="AI72"/>
  <c r="AH72"/>
  <c r="AG72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A72"/>
  <c r="BS71"/>
  <c r="BR71"/>
  <c r="BQ71"/>
  <c r="BP71"/>
  <c r="BO71"/>
  <c r="BN71"/>
  <c r="BM71"/>
  <c r="BL71"/>
  <c r="BK71"/>
  <c r="BJ71"/>
  <c r="BI71"/>
  <c r="BH71"/>
  <c r="BG71"/>
  <c r="BF71"/>
  <c r="BE71"/>
  <c r="BD71"/>
  <c r="BC71"/>
  <c r="BB71"/>
  <c r="BA71"/>
  <c r="AZ71"/>
  <c r="AY71"/>
  <c r="AX71"/>
  <c r="AW71"/>
  <c r="AV71"/>
  <c r="AU71"/>
  <c r="AT71"/>
  <c r="AS71"/>
  <c r="AR71"/>
  <c r="AQ71"/>
  <c r="AP71"/>
  <c r="AO71"/>
  <c r="AN71"/>
  <c r="AM71"/>
  <c r="AL71"/>
  <c r="AK71"/>
  <c r="AJ71"/>
  <c r="AI71"/>
  <c r="AH71"/>
  <c r="AG71"/>
  <c r="AF71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A71"/>
  <c r="BS70"/>
  <c r="BR70"/>
  <c r="BQ70"/>
  <c r="BP70"/>
  <c r="BO70"/>
  <c r="BN70"/>
  <c r="BM70"/>
  <c r="BL70"/>
  <c r="BK70"/>
  <c r="BJ70"/>
  <c r="BI70"/>
  <c r="BH70"/>
  <c r="BG70"/>
  <c r="BF70"/>
  <c r="BE70"/>
  <c r="BD70"/>
  <c r="BC70"/>
  <c r="BB70"/>
  <c r="BA70"/>
  <c r="AZ70"/>
  <c r="AY70"/>
  <c r="AX70"/>
  <c r="AW70"/>
  <c r="AV70"/>
  <c r="AU70"/>
  <c r="AT70"/>
  <c r="AS70"/>
  <c r="AR70"/>
  <c r="AQ70"/>
  <c r="AP70"/>
  <c r="AO70"/>
  <c r="AN70"/>
  <c r="AM70"/>
  <c r="AL70"/>
  <c r="AK70"/>
  <c r="AJ70"/>
  <c r="AI70"/>
  <c r="AH70"/>
  <c r="AG70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A70"/>
  <c r="BS69"/>
  <c r="BR69"/>
  <c r="BQ69"/>
  <c r="BP69"/>
  <c r="BO69"/>
  <c r="BN69"/>
  <c r="BM69"/>
  <c r="BL69"/>
  <c r="BK69"/>
  <c r="BJ69"/>
  <c r="BI69"/>
  <c r="BH69"/>
  <c r="BG69"/>
  <c r="BF69"/>
  <c r="BE69"/>
  <c r="BD69"/>
  <c r="BC69"/>
  <c r="BB69"/>
  <c r="BA69"/>
  <c r="AZ69"/>
  <c r="AY69"/>
  <c r="AX69"/>
  <c r="AW69"/>
  <c r="AV69"/>
  <c r="AU69"/>
  <c r="AT69"/>
  <c r="AS69"/>
  <c r="AR69"/>
  <c r="AQ69"/>
  <c r="AP69"/>
  <c r="AO69"/>
  <c r="AN69"/>
  <c r="AM69"/>
  <c r="AL69"/>
  <c r="AK69"/>
  <c r="AJ69"/>
  <c r="AI69"/>
  <c r="AH69"/>
  <c r="AG69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A69"/>
  <c r="BS68"/>
  <c r="BR68"/>
  <c r="BQ68"/>
  <c r="BP68"/>
  <c r="BO68"/>
  <c r="BN68"/>
  <c r="BM68"/>
  <c r="BL68"/>
  <c r="BK68"/>
  <c r="BJ68"/>
  <c r="BI68"/>
  <c r="BH68"/>
  <c r="BG68"/>
  <c r="BF68"/>
  <c r="BE68"/>
  <c r="BD68"/>
  <c r="BC68"/>
  <c r="BB68"/>
  <c r="BA68"/>
  <c r="AZ68"/>
  <c r="AY68"/>
  <c r="AX68"/>
  <c r="AW68"/>
  <c r="AV68"/>
  <c r="AU68"/>
  <c r="AT68"/>
  <c r="AS68"/>
  <c r="AR68"/>
  <c r="AQ68"/>
  <c r="AP68"/>
  <c r="AO68"/>
  <c r="AN68"/>
  <c r="AM68"/>
  <c r="AL68"/>
  <c r="AK68"/>
  <c r="AJ68"/>
  <c r="AI68"/>
  <c r="AH68"/>
  <c r="AG68"/>
  <c r="AF68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A68"/>
  <c r="BS67"/>
  <c r="BR67"/>
  <c r="BQ67"/>
  <c r="BP67"/>
  <c r="BO67"/>
  <c r="BN67"/>
  <c r="BM67"/>
  <c r="BL67"/>
  <c r="BK67"/>
  <c r="BJ67"/>
  <c r="BI67"/>
  <c r="BH67"/>
  <c r="BG67"/>
  <c r="BF67"/>
  <c r="BE67"/>
  <c r="BD67"/>
  <c r="BC67"/>
  <c r="BB67"/>
  <c r="BA67"/>
  <c r="AZ67"/>
  <c r="AY67"/>
  <c r="AX67"/>
  <c r="AW67"/>
  <c r="AV67"/>
  <c r="AU67"/>
  <c r="AT67"/>
  <c r="AS67"/>
  <c r="AR67"/>
  <c r="AQ67"/>
  <c r="AP67"/>
  <c r="AO67"/>
  <c r="AN67"/>
  <c r="AM67"/>
  <c r="AL67"/>
  <c r="AK67"/>
  <c r="AJ67"/>
  <c r="AI67"/>
  <c r="AH67"/>
  <c r="AG67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A67"/>
  <c r="BS66"/>
  <c r="BR66"/>
  <c r="BQ66"/>
  <c r="BP66"/>
  <c r="BO66"/>
  <c r="BN66"/>
  <c r="BM66"/>
  <c r="BL66"/>
  <c r="BK66"/>
  <c r="BJ66"/>
  <c r="BI66"/>
  <c r="BH66"/>
  <c r="BG66"/>
  <c r="BF66"/>
  <c r="BE66"/>
  <c r="BD66"/>
  <c r="BC66"/>
  <c r="BB66"/>
  <c r="BA66"/>
  <c r="AZ66"/>
  <c r="AY66"/>
  <c r="AX66"/>
  <c r="AW66"/>
  <c r="AV66"/>
  <c r="AU66"/>
  <c r="AT66"/>
  <c r="AS66"/>
  <c r="AR66"/>
  <c r="AQ66"/>
  <c r="AP66"/>
  <c r="AO66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A66"/>
  <c r="BS65"/>
  <c r="BR65"/>
  <c r="BQ65"/>
  <c r="BP65"/>
  <c r="BO65"/>
  <c r="BN65"/>
  <c r="BM65"/>
  <c r="BL65"/>
  <c r="BK65"/>
  <c r="BJ65"/>
  <c r="BI65"/>
  <c r="BH65"/>
  <c r="BG65"/>
  <c r="BF65"/>
  <c r="BE65"/>
  <c r="BD65"/>
  <c r="BC65"/>
  <c r="BB65"/>
  <c r="BA65"/>
  <c r="AZ65"/>
  <c r="AY65"/>
  <c r="AX65"/>
  <c r="AW65"/>
  <c r="AV65"/>
  <c r="AU65"/>
  <c r="AT65"/>
  <c r="AS65"/>
  <c r="AR65"/>
  <c r="AQ65"/>
  <c r="AP65"/>
  <c r="AO65"/>
  <c r="AN65"/>
  <c r="AM65"/>
  <c r="AL65"/>
  <c r="AK65"/>
  <c r="AJ65"/>
  <c r="AI65"/>
  <c r="AH65"/>
  <c r="AG65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A65"/>
  <c r="BS64"/>
  <c r="BR64"/>
  <c r="BQ64"/>
  <c r="BP64"/>
  <c r="BO64"/>
  <c r="BN64"/>
  <c r="BM64"/>
  <c r="BL64"/>
  <c r="BK64"/>
  <c r="BJ64"/>
  <c r="BI64"/>
  <c r="BH64"/>
  <c r="BG64"/>
  <c r="BF64"/>
  <c r="BE64"/>
  <c r="BD64"/>
  <c r="BC64"/>
  <c r="BB64"/>
  <c r="BA64"/>
  <c r="AZ64"/>
  <c r="AY64"/>
  <c r="AX64"/>
  <c r="AW64"/>
  <c r="AV64"/>
  <c r="AU64"/>
  <c r="AT64"/>
  <c r="AS64"/>
  <c r="AR64"/>
  <c r="AQ64"/>
  <c r="AP64"/>
  <c r="AO64"/>
  <c r="AN64"/>
  <c r="AM64"/>
  <c r="AL64"/>
  <c r="AK64"/>
  <c r="AJ64"/>
  <c r="AI64"/>
  <c r="AH64"/>
  <c r="AG64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A64"/>
  <c r="BS63"/>
  <c r="BR63"/>
  <c r="BQ63"/>
  <c r="BP63"/>
  <c r="BO63"/>
  <c r="BN63"/>
  <c r="BM63"/>
  <c r="BL63"/>
  <c r="BK63"/>
  <c r="BJ63"/>
  <c r="BI63"/>
  <c r="BH63"/>
  <c r="BG63"/>
  <c r="BF63"/>
  <c r="BE63"/>
  <c r="BD63"/>
  <c r="BC63"/>
  <c r="BB63"/>
  <c r="BA63"/>
  <c r="AZ63"/>
  <c r="AY63"/>
  <c r="AX63"/>
  <c r="AW63"/>
  <c r="AV63"/>
  <c r="AU63"/>
  <c r="AT63"/>
  <c r="AS63"/>
  <c r="AR63"/>
  <c r="AP63"/>
  <c r="AO63"/>
  <c r="AM63"/>
  <c r="AL63"/>
  <c r="AK63"/>
  <c r="AJ63"/>
  <c r="AI63"/>
  <c r="AH63"/>
  <c r="AG63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A63"/>
  <c r="BS62"/>
  <c r="BR62"/>
  <c r="BQ62"/>
  <c r="BP62"/>
  <c r="BO62"/>
  <c r="BN62"/>
  <c r="BM62"/>
  <c r="BL62"/>
  <c r="BK62"/>
  <c r="BJ62"/>
  <c r="BI62"/>
  <c r="BH62"/>
  <c r="BG62"/>
  <c r="BF62"/>
  <c r="BE62"/>
  <c r="BD62"/>
  <c r="BC62"/>
  <c r="BB62"/>
  <c r="BA62"/>
  <c r="AZ62"/>
  <c r="AY62"/>
  <c r="AX62"/>
  <c r="AW62"/>
  <c r="AV62"/>
  <c r="AU62"/>
  <c r="AT62"/>
  <c r="AS62"/>
  <c r="AR62"/>
  <c r="AQ62"/>
  <c r="AP62"/>
  <c r="AO62"/>
  <c r="AN62"/>
  <c r="AM62"/>
  <c r="AL62"/>
  <c r="AK62"/>
  <c r="AJ62"/>
  <c r="AI62"/>
  <c r="AH62"/>
  <c r="AG62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A62"/>
  <c r="BS61"/>
  <c r="BR61"/>
  <c r="BQ61"/>
  <c r="BP61"/>
  <c r="BO61"/>
  <c r="BN61"/>
  <c r="BM61"/>
  <c r="BL61"/>
  <c r="BK61"/>
  <c r="BJ61"/>
  <c r="BI61"/>
  <c r="BH61"/>
  <c r="BG61"/>
  <c r="BF61"/>
  <c r="BE61"/>
  <c r="BD61"/>
  <c r="BC61"/>
  <c r="BB61"/>
  <c r="BA61"/>
  <c r="AZ61"/>
  <c r="AY61"/>
  <c r="AX61"/>
  <c r="AW61"/>
  <c r="AV61"/>
  <c r="AU61"/>
  <c r="AT61"/>
  <c r="AS61"/>
  <c r="AR61"/>
  <c r="AQ61"/>
  <c r="AP61"/>
  <c r="AO61"/>
  <c r="AN61"/>
  <c r="AM61"/>
  <c r="AL61"/>
  <c r="AK61"/>
  <c r="AJ61"/>
  <c r="AI61"/>
  <c r="AH61"/>
  <c r="AG61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A61"/>
  <c r="BS60"/>
  <c r="BR60"/>
  <c r="BQ60"/>
  <c r="BP60"/>
  <c r="BO60"/>
  <c r="BN60"/>
  <c r="BM60"/>
  <c r="BL60"/>
  <c r="BK60"/>
  <c r="BJ60"/>
  <c r="BI60"/>
  <c r="BH60"/>
  <c r="BG60"/>
  <c r="BF60"/>
  <c r="BE60"/>
  <c r="BD60"/>
  <c r="BC60"/>
  <c r="BB60"/>
  <c r="BA60"/>
  <c r="AZ60"/>
  <c r="AY60"/>
  <c r="AX60"/>
  <c r="AW60"/>
  <c r="AV60"/>
  <c r="AU60"/>
  <c r="AT60"/>
  <c r="AS60"/>
  <c r="AR60"/>
  <c r="AQ60"/>
  <c r="AP60"/>
  <c r="AO60"/>
  <c r="AN60"/>
  <c r="AM60"/>
  <c r="AL60"/>
  <c r="AK60"/>
  <c r="AJ60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A60"/>
  <c r="BS59"/>
  <c r="BR59"/>
  <c r="BQ59"/>
  <c r="BP59"/>
  <c r="BO59"/>
  <c r="BN59"/>
  <c r="BM59"/>
  <c r="BL59"/>
  <c r="BK59"/>
  <c r="BJ59"/>
  <c r="BI59"/>
  <c r="BH59"/>
  <c r="BG59"/>
  <c r="BF59"/>
  <c r="BE59"/>
  <c r="BD59"/>
  <c r="BC59"/>
  <c r="BB59"/>
  <c r="BA59"/>
  <c r="AZ59"/>
  <c r="AY59"/>
  <c r="AX59"/>
  <c r="AW59"/>
  <c r="AV59"/>
  <c r="AU59"/>
  <c r="AT59"/>
  <c r="AS59"/>
  <c r="AR59"/>
  <c r="AP59"/>
  <c r="AO59"/>
  <c r="AM59"/>
  <c r="AL59"/>
  <c r="AK59"/>
  <c r="AJ59"/>
  <c r="AI59"/>
  <c r="AH59"/>
  <c r="AG59"/>
  <c r="AF59"/>
  <c r="AE59"/>
  <c r="AD59"/>
  <c r="AC59"/>
  <c r="AB59"/>
  <c r="AA59"/>
  <c r="Z59"/>
  <c r="Y59"/>
  <c r="X59"/>
  <c r="W59"/>
  <c r="V59"/>
  <c r="T59"/>
  <c r="S59"/>
  <c r="Q59"/>
  <c r="P59"/>
  <c r="O59"/>
  <c r="N59"/>
  <c r="M59"/>
  <c r="L59"/>
  <c r="K59"/>
  <c r="J59"/>
  <c r="I59"/>
  <c r="H59"/>
  <c r="G59"/>
  <c r="F59"/>
  <c r="E59"/>
  <c r="D59"/>
  <c r="C59"/>
  <c r="B59"/>
  <c r="A59"/>
  <c r="BS58"/>
  <c r="BR58"/>
  <c r="BQ58"/>
  <c r="BP58"/>
  <c r="BO58"/>
  <c r="BN58"/>
  <c r="BM58"/>
  <c r="BL58"/>
  <c r="BK58"/>
  <c r="BJ58"/>
  <c r="BI58"/>
  <c r="BH58"/>
  <c r="BG58"/>
  <c r="BF58"/>
  <c r="BE58"/>
  <c r="BD58"/>
  <c r="BC58"/>
  <c r="BB58"/>
  <c r="BA58"/>
  <c r="AZ58"/>
  <c r="AY58"/>
  <c r="AX58"/>
  <c r="AW58"/>
  <c r="AV58"/>
  <c r="AU58"/>
  <c r="AT58"/>
  <c r="AS58"/>
  <c r="AR58"/>
  <c r="AQ58"/>
  <c r="AP58"/>
  <c r="AO58"/>
  <c r="AN58"/>
  <c r="AM58"/>
  <c r="AL58"/>
  <c r="AK58"/>
  <c r="AJ58"/>
  <c r="AI58"/>
  <c r="AH58"/>
  <c r="AG58"/>
  <c r="AF58"/>
  <c r="AE58"/>
  <c r="AD58"/>
  <c r="AC58"/>
  <c r="AB58"/>
  <c r="AA58"/>
  <c r="Z58"/>
  <c r="Y58"/>
  <c r="X58"/>
  <c r="W58"/>
  <c r="V58"/>
  <c r="U58"/>
  <c r="T58"/>
  <c r="S58"/>
  <c r="Q58"/>
  <c r="P58"/>
  <c r="O58"/>
  <c r="N58"/>
  <c r="M58"/>
  <c r="L58"/>
  <c r="K58"/>
  <c r="J58"/>
  <c r="I58"/>
  <c r="H58"/>
  <c r="G58"/>
  <c r="F58"/>
  <c r="E58"/>
  <c r="D58"/>
  <c r="C58"/>
  <c r="B58"/>
  <c r="A58"/>
  <c r="BS57"/>
  <c r="BR57"/>
  <c r="BQ57"/>
  <c r="BP57"/>
  <c r="BO57"/>
  <c r="BN57"/>
  <c r="BM57"/>
  <c r="BL57"/>
  <c r="BK57"/>
  <c r="BJ57"/>
  <c r="BI57"/>
  <c r="BH57"/>
  <c r="BG57"/>
  <c r="BF57"/>
  <c r="BE57"/>
  <c r="BD57"/>
  <c r="BC57"/>
  <c r="BB57"/>
  <c r="BA57"/>
  <c r="AZ57"/>
  <c r="AY57"/>
  <c r="AX57"/>
  <c r="AW57"/>
  <c r="AV57"/>
  <c r="AU57"/>
  <c r="AT57"/>
  <c r="AS57"/>
  <c r="AR57"/>
  <c r="AP57"/>
  <c r="AO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T57"/>
  <c r="S57"/>
  <c r="Q57"/>
  <c r="P57"/>
  <c r="O57"/>
  <c r="N57"/>
  <c r="M57"/>
  <c r="L57"/>
  <c r="K57"/>
  <c r="J57"/>
  <c r="I57"/>
  <c r="H57"/>
  <c r="G57"/>
  <c r="F57"/>
  <c r="E57"/>
  <c r="D57"/>
  <c r="C57"/>
  <c r="B57"/>
  <c r="A57"/>
  <c r="BS56"/>
  <c r="BR56"/>
  <c r="BQ56"/>
  <c r="BP56"/>
  <c r="BO56"/>
  <c r="BN56"/>
  <c r="BM56"/>
  <c r="BL56"/>
  <c r="BK56"/>
  <c r="BJ56"/>
  <c r="BI56"/>
  <c r="BH56"/>
  <c r="BG56"/>
  <c r="BF56"/>
  <c r="BE56"/>
  <c r="BD56"/>
  <c r="BC56"/>
  <c r="BB56"/>
  <c r="BA56"/>
  <c r="AZ56"/>
  <c r="AY56"/>
  <c r="AX56"/>
  <c r="AW56"/>
  <c r="AV56"/>
  <c r="AU56"/>
  <c r="AT56"/>
  <c r="AS56"/>
  <c r="AR56"/>
  <c r="AQ56"/>
  <c r="AP56"/>
  <c r="AO56"/>
  <c r="AN56"/>
  <c r="AM56"/>
  <c r="AL56"/>
  <c r="AK56"/>
  <c r="AJ56"/>
  <c r="AI56"/>
  <c r="AH56"/>
  <c r="AG56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A56"/>
  <c r="BS55"/>
  <c r="BR55"/>
  <c r="BQ55"/>
  <c r="BP55"/>
  <c r="BO55"/>
  <c r="BN55"/>
  <c r="BM55"/>
  <c r="BL55"/>
  <c r="BK55"/>
  <c r="BJ55"/>
  <c r="BI55"/>
  <c r="BH55"/>
  <c r="BG55"/>
  <c r="BF55"/>
  <c r="BE55"/>
  <c r="BD55"/>
  <c r="BC55"/>
  <c r="BB55"/>
  <c r="BA55"/>
  <c r="AZ55"/>
  <c r="AY55"/>
  <c r="AX55"/>
  <c r="AW55"/>
  <c r="AV55"/>
  <c r="AU55"/>
  <c r="AT55"/>
  <c r="AS55"/>
  <c r="AR55"/>
  <c r="AQ55"/>
  <c r="AP55"/>
  <c r="AO55"/>
  <c r="AN55"/>
  <c r="AM55"/>
  <c r="AL55"/>
  <c r="AK55"/>
  <c r="AJ55"/>
  <c r="AI55"/>
  <c r="AH55"/>
  <c r="AG55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A55"/>
  <c r="BS54"/>
  <c r="BR54"/>
  <c r="BQ54"/>
  <c r="BP54"/>
  <c r="BO54"/>
  <c r="BN54"/>
  <c r="BM54"/>
  <c r="BL54"/>
  <c r="BK54"/>
  <c r="BJ54"/>
  <c r="BI54"/>
  <c r="BH54"/>
  <c r="BG54"/>
  <c r="BF54"/>
  <c r="BE54"/>
  <c r="BD54"/>
  <c r="BC54"/>
  <c r="BB54"/>
  <c r="BA54"/>
  <c r="AZ54"/>
  <c r="AY54"/>
  <c r="AX54"/>
  <c r="AW54"/>
  <c r="AV54"/>
  <c r="AU54"/>
  <c r="AT54"/>
  <c r="AS54"/>
  <c r="AR54"/>
  <c r="AQ54"/>
  <c r="AP54"/>
  <c r="AO54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A54"/>
  <c r="BS52"/>
  <c r="BR52"/>
  <c r="BQ52"/>
  <c r="BP52"/>
  <c r="BO52"/>
  <c r="BN52"/>
  <c r="BM52"/>
  <c r="BL52"/>
  <c r="BK52"/>
  <c r="BJ52"/>
  <c r="BI52"/>
  <c r="BH52"/>
  <c r="BG52"/>
  <c r="BF52"/>
  <c r="BE52"/>
  <c r="BD52"/>
  <c r="BC52"/>
  <c r="BB52"/>
  <c r="BA52"/>
  <c r="AZ52"/>
  <c r="AY52"/>
  <c r="AX52"/>
  <c r="AW52"/>
  <c r="AV52"/>
  <c r="AU52"/>
  <c r="AT52"/>
  <c r="AS52"/>
  <c r="AR52"/>
  <c r="AP52"/>
  <c r="AO52"/>
  <c r="AM52"/>
  <c r="AL52"/>
  <c r="AK52"/>
  <c r="AJ52"/>
  <c r="AI52"/>
  <c r="AH52"/>
  <c r="AG52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A52"/>
  <c r="BS51"/>
  <c r="BR51"/>
  <c r="BQ51"/>
  <c r="BP51"/>
  <c r="BO51"/>
  <c r="BN51"/>
  <c r="BM51"/>
  <c r="BL51"/>
  <c r="BK51"/>
  <c r="BJ51"/>
  <c r="BI51"/>
  <c r="BH51"/>
  <c r="BG51"/>
  <c r="BF51"/>
  <c r="BE51"/>
  <c r="BD51"/>
  <c r="BC51"/>
  <c r="BB51"/>
  <c r="BA51"/>
  <c r="AZ51"/>
  <c r="AY51"/>
  <c r="AX51"/>
  <c r="AW51"/>
  <c r="AV51"/>
  <c r="AU51"/>
  <c r="AT51"/>
  <c r="AS51"/>
  <c r="AR51"/>
  <c r="AQ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A51"/>
  <c r="BS50"/>
  <c r="BR50"/>
  <c r="BQ50"/>
  <c r="BP50"/>
  <c r="BO50"/>
  <c r="BN50"/>
  <c r="BM50"/>
  <c r="BL50"/>
  <c r="BK50"/>
  <c r="BJ50"/>
  <c r="BI50"/>
  <c r="BH50"/>
  <c r="BG50"/>
  <c r="BF50"/>
  <c r="BE50"/>
  <c r="BD50"/>
  <c r="BC50"/>
  <c r="BB50"/>
  <c r="BA50"/>
  <c r="AZ50"/>
  <c r="AY50"/>
  <c r="AX50"/>
  <c r="AW50"/>
  <c r="AV50"/>
  <c r="AU50"/>
  <c r="AT50"/>
  <c r="AS50"/>
  <c r="AR50"/>
  <c r="AQ50"/>
  <c r="AP50"/>
  <c r="AO50"/>
  <c r="AN50"/>
  <c r="AM50"/>
  <c r="AL50"/>
  <c r="AK50"/>
  <c r="AJ50"/>
  <c r="AI50"/>
  <c r="AH50"/>
  <c r="AG50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A50"/>
  <c r="BS49"/>
  <c r="BR49"/>
  <c r="BQ49"/>
  <c r="BP49"/>
  <c r="BO49"/>
  <c r="BN49"/>
  <c r="BM49"/>
  <c r="BL49"/>
  <c r="BK49"/>
  <c r="BJ49"/>
  <c r="BI49"/>
  <c r="BH49"/>
  <c r="BG49"/>
  <c r="BF49"/>
  <c r="BE49"/>
  <c r="BD49"/>
  <c r="BC49"/>
  <c r="BB49"/>
  <c r="BA49"/>
  <c r="AZ49"/>
  <c r="AY49"/>
  <c r="AX49"/>
  <c r="AW49"/>
  <c r="AV49"/>
  <c r="AU49"/>
  <c r="AT49"/>
  <c r="AS49"/>
  <c r="AR49"/>
  <c r="AQ49"/>
  <c r="AP49"/>
  <c r="AO49"/>
  <c r="AN49"/>
  <c r="AM49"/>
  <c r="AL49"/>
  <c r="AK49"/>
  <c r="AJ49"/>
  <c r="AI49"/>
  <c r="AH49"/>
  <c r="AG49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A49"/>
  <c r="BS48"/>
  <c r="BR48"/>
  <c r="BQ48"/>
  <c r="BP48"/>
  <c r="BO48"/>
  <c r="BN48"/>
  <c r="BM48"/>
  <c r="BL48"/>
  <c r="BK48"/>
  <c r="BJ48"/>
  <c r="BI48"/>
  <c r="BH48"/>
  <c r="BG48"/>
  <c r="BF48"/>
  <c r="BE48"/>
  <c r="BD48"/>
  <c r="BC48"/>
  <c r="BB48"/>
  <c r="BA48"/>
  <c r="AZ48"/>
  <c r="AY48"/>
  <c r="AX48"/>
  <c r="AW48"/>
  <c r="AV48"/>
  <c r="AU48"/>
  <c r="AT48"/>
  <c r="AS48"/>
  <c r="AR48"/>
  <c r="AQ48"/>
  <c r="AP48"/>
  <c r="AO48"/>
  <c r="AN48"/>
  <c r="AM48"/>
  <c r="AL48"/>
  <c r="AK48"/>
  <c r="AJ48"/>
  <c r="AI48"/>
  <c r="AH48"/>
  <c r="AG48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A48"/>
  <c r="BS47"/>
  <c r="BR47"/>
  <c r="BQ47"/>
  <c r="BP47"/>
  <c r="BO47"/>
  <c r="BN47"/>
  <c r="BM47"/>
  <c r="BL47"/>
  <c r="BK47"/>
  <c r="BJ47"/>
  <c r="BI47"/>
  <c r="BH47"/>
  <c r="BG47"/>
  <c r="BF47"/>
  <c r="BE47"/>
  <c r="BD47"/>
  <c r="BC47"/>
  <c r="BB47"/>
  <c r="BA47"/>
  <c r="AZ47"/>
  <c r="AY47"/>
  <c r="AX47"/>
  <c r="AW47"/>
  <c r="AV47"/>
  <c r="AU47"/>
  <c r="AT47"/>
  <c r="AS47"/>
  <c r="AR47"/>
  <c r="AQ47"/>
  <c r="AP47"/>
  <c r="AO47"/>
  <c r="AN47"/>
  <c r="AM47"/>
  <c r="AL47"/>
  <c r="AK47"/>
  <c r="AJ47"/>
  <c r="AI47"/>
  <c r="AH47"/>
  <c r="AG47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47"/>
  <c r="BS46"/>
  <c r="BR46"/>
  <c r="BQ46"/>
  <c r="BP46"/>
  <c r="BO46"/>
  <c r="BN46"/>
  <c r="BM46"/>
  <c r="BL46"/>
  <c r="BK46"/>
  <c r="BJ46"/>
  <c r="BI46"/>
  <c r="BH46"/>
  <c r="BG46"/>
  <c r="BF46"/>
  <c r="BE46"/>
  <c r="BD46"/>
  <c r="BC46"/>
  <c r="BB46"/>
  <c r="BA46"/>
  <c r="AZ46"/>
  <c r="AY46"/>
  <c r="AX46"/>
  <c r="AW46"/>
  <c r="AV46"/>
  <c r="AU46"/>
  <c r="AT46"/>
  <c r="AS46"/>
  <c r="AR46"/>
  <c r="AQ46"/>
  <c r="AP46"/>
  <c r="AO46"/>
  <c r="AN46"/>
  <c r="AM46"/>
  <c r="AL46"/>
  <c r="AK46"/>
  <c r="AJ46"/>
  <c r="AI46"/>
  <c r="AH46"/>
  <c r="AG46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46"/>
  <c r="BS45"/>
  <c r="BR45"/>
  <c r="BQ45"/>
  <c r="BP45"/>
  <c r="BO45"/>
  <c r="BN45"/>
  <c r="BM45"/>
  <c r="BL45"/>
  <c r="BK45"/>
  <c r="BJ45"/>
  <c r="BI45"/>
  <c r="BH45"/>
  <c r="BG45"/>
  <c r="BF45"/>
  <c r="BE45"/>
  <c r="BD45"/>
  <c r="BC45"/>
  <c r="BB45"/>
  <c r="BA45"/>
  <c r="AZ45"/>
  <c r="AY45"/>
  <c r="AX45"/>
  <c r="AW45"/>
  <c r="AV45"/>
  <c r="AU45"/>
  <c r="AT45"/>
  <c r="AS45"/>
  <c r="AR45"/>
  <c r="AQ45"/>
  <c r="AP45"/>
  <c r="AO45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45"/>
  <c r="BS44"/>
  <c r="BR44"/>
  <c r="BQ44"/>
  <c r="BP44"/>
  <c r="BO44"/>
  <c r="BN44"/>
  <c r="BM44"/>
  <c r="BL44"/>
  <c r="BK44"/>
  <c r="BJ44"/>
  <c r="BI44"/>
  <c r="BH44"/>
  <c r="BG44"/>
  <c r="BF44"/>
  <c r="BE44"/>
  <c r="BD44"/>
  <c r="BC44"/>
  <c r="BB44"/>
  <c r="BA44"/>
  <c r="AZ44"/>
  <c r="AY44"/>
  <c r="AX44"/>
  <c r="AW44"/>
  <c r="AV44"/>
  <c r="AU44"/>
  <c r="AT44"/>
  <c r="AS44"/>
  <c r="AR44"/>
  <c r="AM44"/>
  <c r="AL44"/>
  <c r="AK44"/>
  <c r="AJ44"/>
  <c r="AI44"/>
  <c r="AH44"/>
  <c r="AG44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44"/>
  <c r="BS43"/>
  <c r="BR43"/>
  <c r="BQ43"/>
  <c r="BP43"/>
  <c r="BO43"/>
  <c r="BN43"/>
  <c r="BM43"/>
  <c r="BL43"/>
  <c r="BK43"/>
  <c r="BJ43"/>
  <c r="BI43"/>
  <c r="BH43"/>
  <c r="BG43"/>
  <c r="BF43"/>
  <c r="BE43"/>
  <c r="BD43"/>
  <c r="BC43"/>
  <c r="BB43"/>
  <c r="BA43"/>
  <c r="AZ43"/>
  <c r="AY43"/>
  <c r="AX43"/>
  <c r="AW43"/>
  <c r="AV43"/>
  <c r="AU43"/>
  <c r="AT43"/>
  <c r="AS43"/>
  <c r="AR43"/>
  <c r="AQ43"/>
  <c r="AP43"/>
  <c r="AO43"/>
  <c r="AN43"/>
  <c r="AM43"/>
  <c r="AL43"/>
  <c r="AK43"/>
  <c r="AJ43"/>
  <c r="AI43"/>
  <c r="AH43"/>
  <c r="AG43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43"/>
  <c r="BS42"/>
  <c r="BR42"/>
  <c r="BQ42"/>
  <c r="BP42"/>
  <c r="BO42"/>
  <c r="BN42"/>
  <c r="BM42"/>
  <c r="BL42"/>
  <c r="BK42"/>
  <c r="BJ42"/>
  <c r="BI42"/>
  <c r="BH42"/>
  <c r="BG42"/>
  <c r="BF42"/>
  <c r="BE42"/>
  <c r="BD42"/>
  <c r="BC42"/>
  <c r="BB42"/>
  <c r="BA42"/>
  <c r="AZ42"/>
  <c r="AY42"/>
  <c r="AX42"/>
  <c r="AW42"/>
  <c r="AV42"/>
  <c r="AU42"/>
  <c r="AT42"/>
  <c r="AS42"/>
  <c r="AR42"/>
  <c r="AQ42"/>
  <c r="AP42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42"/>
  <c r="BS41"/>
  <c r="BR41"/>
  <c r="BQ41"/>
  <c r="BP41"/>
  <c r="BO41"/>
  <c r="BN41"/>
  <c r="BM41"/>
  <c r="BL41"/>
  <c r="BK41"/>
  <c r="BJ41"/>
  <c r="BI41"/>
  <c r="BH41"/>
  <c r="BG41"/>
  <c r="BF41"/>
  <c r="BE41"/>
  <c r="BD41"/>
  <c r="BC41"/>
  <c r="BB41"/>
  <c r="BA41"/>
  <c r="AZ41"/>
  <c r="AY41"/>
  <c r="AX41"/>
  <c r="AW41"/>
  <c r="AV41"/>
  <c r="AU41"/>
  <c r="AT41"/>
  <c r="AS41"/>
  <c r="AR41"/>
  <c r="AQ41"/>
  <c r="AP41"/>
  <c r="AO41"/>
  <c r="AN41"/>
  <c r="AM41"/>
  <c r="AL41"/>
  <c r="AK41"/>
  <c r="AJ41"/>
  <c r="AI41"/>
  <c r="AH41"/>
  <c r="AG41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41"/>
  <c r="BS40"/>
  <c r="BR40"/>
  <c r="BQ40"/>
  <c r="BP40"/>
  <c r="BO40"/>
  <c r="BN40"/>
  <c r="BM40"/>
  <c r="BL40"/>
  <c r="BK40"/>
  <c r="BJ40"/>
  <c r="BI40"/>
  <c r="BH40"/>
  <c r="BG40"/>
  <c r="BF40"/>
  <c r="BE40"/>
  <c r="BD40"/>
  <c r="BC40"/>
  <c r="BB40"/>
  <c r="BA40"/>
  <c r="AZ40"/>
  <c r="AY40"/>
  <c r="AX40"/>
  <c r="AW40"/>
  <c r="AV40"/>
  <c r="AU40"/>
  <c r="AT40"/>
  <c r="AS40"/>
  <c r="AR40"/>
  <c r="AQ40"/>
  <c r="AP40"/>
  <c r="AO40"/>
  <c r="AN40"/>
  <c r="AM40"/>
  <c r="AL40"/>
  <c r="AK40"/>
  <c r="AJ40"/>
  <c r="AI40"/>
  <c r="AH40"/>
  <c r="AG40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40"/>
  <c r="BS39"/>
  <c r="BR39"/>
  <c r="BQ39"/>
  <c r="BP39"/>
  <c r="BO39"/>
  <c r="BN39"/>
  <c r="BM39"/>
  <c r="BL39"/>
  <c r="BK39"/>
  <c r="BJ39"/>
  <c r="BI39"/>
  <c r="BH39"/>
  <c r="BG39"/>
  <c r="BF39"/>
  <c r="BE39"/>
  <c r="BD39"/>
  <c r="BC39"/>
  <c r="BB39"/>
  <c r="BA39"/>
  <c r="AZ39"/>
  <c r="AY39"/>
  <c r="AX39"/>
  <c r="AW39"/>
  <c r="AV39"/>
  <c r="AU39"/>
  <c r="AT39"/>
  <c r="AS39"/>
  <c r="AR39"/>
  <c r="AQ39"/>
  <c r="AP39"/>
  <c r="AO39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39"/>
  <c r="BS38"/>
  <c r="BR38"/>
  <c r="BQ38"/>
  <c r="BP38"/>
  <c r="BO38"/>
  <c r="BN38"/>
  <c r="BM38"/>
  <c r="BL38"/>
  <c r="BK38"/>
  <c r="BJ38"/>
  <c r="BI38"/>
  <c r="BH38"/>
  <c r="BG38"/>
  <c r="BF38"/>
  <c r="BE38"/>
  <c r="BD38"/>
  <c r="BC38"/>
  <c r="BB38"/>
  <c r="BA38"/>
  <c r="AZ38"/>
  <c r="AY38"/>
  <c r="AX38"/>
  <c r="AW38"/>
  <c r="AV38"/>
  <c r="AU38"/>
  <c r="AT38"/>
  <c r="AS38"/>
  <c r="AR38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38"/>
  <c r="BS37"/>
  <c r="BR37"/>
  <c r="BQ37"/>
  <c r="BP37"/>
  <c r="BO37"/>
  <c r="BN37"/>
  <c r="BM37"/>
  <c r="BL37"/>
  <c r="BK37"/>
  <c r="BJ37"/>
  <c r="BI37"/>
  <c r="BH37"/>
  <c r="BG37"/>
  <c r="BF37"/>
  <c r="BE37"/>
  <c r="BD37"/>
  <c r="BC37"/>
  <c r="BB37"/>
  <c r="BA37"/>
  <c r="AZ37"/>
  <c r="AY37"/>
  <c r="AX37"/>
  <c r="AW37"/>
  <c r="AV37"/>
  <c r="AU37"/>
  <c r="AT37"/>
  <c r="AS37"/>
  <c r="AR37"/>
  <c r="AQ37"/>
  <c r="AP37"/>
  <c r="AO37"/>
  <c r="AN37"/>
  <c r="AM37"/>
  <c r="AL37"/>
  <c r="AK37"/>
  <c r="AJ37"/>
  <c r="AI37"/>
  <c r="AH37"/>
  <c r="AG37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37"/>
  <c r="BS36"/>
  <c r="BR36"/>
  <c r="BQ36"/>
  <c r="BP36"/>
  <c r="BO36"/>
  <c r="BN36"/>
  <c r="BM36"/>
  <c r="BL36"/>
  <c r="BK36"/>
  <c r="BJ36"/>
  <c r="BI36"/>
  <c r="BH36"/>
  <c r="BG36"/>
  <c r="BF36"/>
  <c r="BE36"/>
  <c r="BD36"/>
  <c r="BC36"/>
  <c r="BB36"/>
  <c r="BA36"/>
  <c r="AZ36"/>
  <c r="AY36"/>
  <c r="AX36"/>
  <c r="AW36"/>
  <c r="AV36"/>
  <c r="AU36"/>
  <c r="AT36"/>
  <c r="AS36"/>
  <c r="AR36"/>
  <c r="AQ36"/>
  <c r="AP36"/>
  <c r="AO36"/>
  <c r="AN36"/>
  <c r="AM36"/>
  <c r="AL36"/>
  <c r="AK36"/>
  <c r="AJ36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A36"/>
  <c r="BS35"/>
  <c r="BR35"/>
  <c r="BQ35"/>
  <c r="BP35"/>
  <c r="BO35"/>
  <c r="BN35"/>
  <c r="BM35"/>
  <c r="BL35"/>
  <c r="BK35"/>
  <c r="BJ35"/>
  <c r="BI35"/>
  <c r="BH35"/>
  <c r="BG35"/>
  <c r="BF35"/>
  <c r="BE35"/>
  <c r="BD35"/>
  <c r="BC35"/>
  <c r="BB35"/>
  <c r="BA35"/>
  <c r="AZ35"/>
  <c r="AY35"/>
  <c r="AX35"/>
  <c r="AW35"/>
  <c r="AV35"/>
  <c r="AU35"/>
  <c r="AT35"/>
  <c r="AS35"/>
  <c r="AR35"/>
  <c r="AQ35"/>
  <c r="AP35"/>
  <c r="AO35"/>
  <c r="AN35"/>
  <c r="AM35"/>
  <c r="AL35"/>
  <c r="AK35"/>
  <c r="AJ35"/>
  <c r="AI35"/>
  <c r="AH35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A35"/>
  <c r="BS34"/>
  <c r="BR34"/>
  <c r="BQ34"/>
  <c r="BP34"/>
  <c r="BO34"/>
  <c r="BN34"/>
  <c r="BM34"/>
  <c r="BL34"/>
  <c r="BK34"/>
  <c r="BJ34"/>
  <c r="BI34"/>
  <c r="BH34"/>
  <c r="BG34"/>
  <c r="BF34"/>
  <c r="BE34"/>
  <c r="BD34"/>
  <c r="BC34"/>
  <c r="BB34"/>
  <c r="BA34"/>
  <c r="AZ34"/>
  <c r="AY34"/>
  <c r="AX34"/>
  <c r="AW34"/>
  <c r="AV34"/>
  <c r="AU34"/>
  <c r="AT34"/>
  <c r="AS34"/>
  <c r="AR34"/>
  <c r="AQ34"/>
  <c r="AP34"/>
  <c r="AO34"/>
  <c r="AN34"/>
  <c r="AM34"/>
  <c r="AL34"/>
  <c r="AK34"/>
  <c r="AJ34"/>
  <c r="AI34"/>
  <c r="AH34"/>
  <c r="AG34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A34"/>
  <c r="BS33"/>
  <c r="BR33"/>
  <c r="BQ33"/>
  <c r="BP33"/>
  <c r="BO33"/>
  <c r="BN33"/>
  <c r="BM33"/>
  <c r="BL33"/>
  <c r="BK33"/>
  <c r="BJ33"/>
  <c r="BI33"/>
  <c r="BH33"/>
  <c r="BG33"/>
  <c r="BF33"/>
  <c r="BE33"/>
  <c r="BD33"/>
  <c r="BC33"/>
  <c r="BB33"/>
  <c r="BA33"/>
  <c r="AZ33"/>
  <c r="AY33"/>
  <c r="AX33"/>
  <c r="AW33"/>
  <c r="AV33"/>
  <c r="AU33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A33"/>
  <c r="BS32"/>
  <c r="BR32"/>
  <c r="BQ32"/>
  <c r="BP32"/>
  <c r="BO32"/>
  <c r="BN32"/>
  <c r="BM32"/>
  <c r="BL32"/>
  <c r="BK32"/>
  <c r="BJ32"/>
  <c r="BI32"/>
  <c r="BH32"/>
  <c r="BG32"/>
  <c r="BF32"/>
  <c r="BE32"/>
  <c r="BD32"/>
  <c r="BC32"/>
  <c r="BB32"/>
  <c r="BA32"/>
  <c r="AZ32"/>
  <c r="AY32"/>
  <c r="AX32"/>
  <c r="AW32"/>
  <c r="AV32"/>
  <c r="AU32"/>
  <c r="AT32"/>
  <c r="AS32"/>
  <c r="AR32"/>
  <c r="AP32"/>
  <c r="AO32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A32"/>
  <c r="BS31"/>
  <c r="BR31"/>
  <c r="BQ31"/>
  <c r="BP31"/>
  <c r="BO31"/>
  <c r="BN31"/>
  <c r="BM31"/>
  <c r="BL31"/>
  <c r="BK31"/>
  <c r="BJ31"/>
  <c r="BI31"/>
  <c r="BH31"/>
  <c r="BG31"/>
  <c r="BF31"/>
  <c r="BE31"/>
  <c r="BD31"/>
  <c r="BC31"/>
  <c r="BB31"/>
  <c r="BA31"/>
  <c r="AZ31"/>
  <c r="AY31"/>
  <c r="AX31"/>
  <c r="AW31"/>
  <c r="AV31"/>
  <c r="AU31"/>
  <c r="AT31"/>
  <c r="AS31"/>
  <c r="AR31"/>
  <c r="AQ31"/>
  <c r="AP31"/>
  <c r="AO31"/>
  <c r="AN31"/>
  <c r="AM31"/>
  <c r="AL31"/>
  <c r="AK31"/>
  <c r="AJ31"/>
  <c r="AI31"/>
  <c r="AH31"/>
  <c r="AG31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A31"/>
  <c r="BS30"/>
  <c r="BR30"/>
  <c r="BQ30"/>
  <c r="BP30"/>
  <c r="BO30"/>
  <c r="BN30"/>
  <c r="BM30"/>
  <c r="BL30"/>
  <c r="BK30"/>
  <c r="BJ30"/>
  <c r="BI30"/>
  <c r="BH30"/>
  <c r="BG30"/>
  <c r="BF30"/>
  <c r="BE30"/>
  <c r="BD30"/>
  <c r="BC30"/>
  <c r="BB30"/>
  <c r="BA30"/>
  <c r="AZ30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A30"/>
  <c r="BS29"/>
  <c r="BR29"/>
  <c r="BQ29"/>
  <c r="BP29"/>
  <c r="BO29"/>
  <c r="BN29"/>
  <c r="BM29"/>
  <c r="BL29"/>
  <c r="BK29"/>
  <c r="BJ29"/>
  <c r="BI29"/>
  <c r="BH29"/>
  <c r="BG29"/>
  <c r="BF29"/>
  <c r="BE29"/>
  <c r="BD29"/>
  <c r="BC29"/>
  <c r="BB29"/>
  <c r="BA29"/>
  <c r="AZ29"/>
  <c r="AY29"/>
  <c r="AX29"/>
  <c r="AW29"/>
  <c r="AV29"/>
  <c r="AU29"/>
  <c r="AT29"/>
  <c r="AS29"/>
  <c r="AR29"/>
  <c r="AQ29"/>
  <c r="AP29"/>
  <c r="AO29"/>
  <c r="AN29"/>
  <c r="AM29"/>
  <c r="AL29"/>
  <c r="AK29"/>
  <c r="AJ29"/>
  <c r="AI29"/>
  <c r="AH29"/>
  <c r="AG29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A29"/>
  <c r="BS28"/>
  <c r="BR28"/>
  <c r="BQ28"/>
  <c r="BP28"/>
  <c r="BO28"/>
  <c r="BN28"/>
  <c r="BM28"/>
  <c r="BL28"/>
  <c r="BK28"/>
  <c r="BJ28"/>
  <c r="BI28"/>
  <c r="BH28"/>
  <c r="BG28"/>
  <c r="BF28"/>
  <c r="BE28"/>
  <c r="BD28"/>
  <c r="BC28"/>
  <c r="BB28"/>
  <c r="BA28"/>
  <c r="AZ28"/>
  <c r="AY28"/>
  <c r="AX28"/>
  <c r="AW28"/>
  <c r="AV28"/>
  <c r="AU28"/>
  <c r="AT28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A28"/>
  <c r="BS27"/>
  <c r="BR27"/>
  <c r="BQ27"/>
  <c r="BP27"/>
  <c r="BO27"/>
  <c r="BN27"/>
  <c r="BM27"/>
  <c r="BL27"/>
  <c r="BK27"/>
  <c r="BJ27"/>
  <c r="BI27"/>
  <c r="BH27"/>
  <c r="BG27"/>
  <c r="BF27"/>
  <c r="BE27"/>
  <c r="BD27"/>
  <c r="BC27"/>
  <c r="BB27"/>
  <c r="BA27"/>
  <c r="AZ27"/>
  <c r="AY27"/>
  <c r="AX27"/>
  <c r="AW27"/>
  <c r="AV27"/>
  <c r="AU27"/>
  <c r="AT27"/>
  <c r="AS27"/>
  <c r="AR27"/>
  <c r="AQ27"/>
  <c r="AP27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A27"/>
  <c r="BS26"/>
  <c r="BR26"/>
  <c r="BQ26"/>
  <c r="BP26"/>
  <c r="BO26"/>
  <c r="BN26"/>
  <c r="BM26"/>
  <c r="BL26"/>
  <c r="BK26"/>
  <c r="BJ26"/>
  <c r="BI26"/>
  <c r="BH26"/>
  <c r="BG26"/>
  <c r="BF26"/>
  <c r="BE26"/>
  <c r="BD26"/>
  <c r="BC26"/>
  <c r="BB26"/>
  <c r="BA26"/>
  <c r="AZ26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A26"/>
  <c r="BS25"/>
  <c r="BR25"/>
  <c r="BQ25"/>
  <c r="BP25"/>
  <c r="BO25"/>
  <c r="BN25"/>
  <c r="BM25"/>
  <c r="BL25"/>
  <c r="BK25"/>
  <c r="BJ25"/>
  <c r="BI25"/>
  <c r="BH25"/>
  <c r="BG25"/>
  <c r="BF25"/>
  <c r="BE25"/>
  <c r="BD25"/>
  <c r="BC25"/>
  <c r="BB25"/>
  <c r="BA25"/>
  <c r="AZ25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A25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A24"/>
  <c r="BS23"/>
  <c r="BR23"/>
  <c r="BQ23"/>
  <c r="BP23"/>
  <c r="BO23"/>
  <c r="BN23"/>
  <c r="BM23"/>
  <c r="BL23"/>
  <c r="BK23"/>
  <c r="BJ23"/>
  <c r="BI23"/>
  <c r="BH23"/>
  <c r="BG23"/>
  <c r="BF23"/>
  <c r="BE23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A23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22"/>
  <c r="BS21"/>
  <c r="BR21"/>
  <c r="BQ21"/>
  <c r="BP21"/>
  <c r="BO21"/>
  <c r="BN21"/>
  <c r="BM21"/>
  <c r="BL21"/>
  <c r="BK21"/>
  <c r="BJ21"/>
  <c r="BI21"/>
  <c r="BH21"/>
  <c r="BG21"/>
  <c r="BF21"/>
  <c r="BE21"/>
  <c r="BD21"/>
  <c r="BC21"/>
  <c r="BB21"/>
  <c r="BA21"/>
  <c r="AZ21"/>
  <c r="AY21"/>
  <c r="AX21"/>
  <c r="AW21"/>
  <c r="AV21"/>
  <c r="AU21"/>
  <c r="AT21"/>
  <c r="AS21"/>
  <c r="AR21"/>
  <c r="AQ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21"/>
  <c r="BS20"/>
  <c r="BR20"/>
  <c r="BQ20"/>
  <c r="BP20"/>
  <c r="BO20"/>
  <c r="BN20"/>
  <c r="BM20"/>
  <c r="BL20"/>
  <c r="BK20"/>
  <c r="BJ20"/>
  <c r="BI20"/>
  <c r="BH20"/>
  <c r="BG20"/>
  <c r="BF20"/>
  <c r="BE20"/>
  <c r="BD20"/>
  <c r="BC20"/>
  <c r="BB20"/>
  <c r="BA20"/>
  <c r="AZ20"/>
  <c r="AY20"/>
  <c r="AX20"/>
  <c r="AW20"/>
  <c r="AV20"/>
  <c r="AU20"/>
  <c r="AT20"/>
  <c r="AS20"/>
  <c r="AR20"/>
  <c r="AQ20"/>
  <c r="AP20"/>
  <c r="AO20"/>
  <c r="AN20"/>
  <c r="AM20"/>
  <c r="AL20"/>
  <c r="AK20"/>
  <c r="AJ20"/>
  <c r="AI20"/>
  <c r="AH20"/>
  <c r="AG20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A20"/>
  <c r="BS19"/>
  <c r="BR19"/>
  <c r="BQ19"/>
  <c r="BP19"/>
  <c r="BO19"/>
  <c r="BN19"/>
  <c r="BM19"/>
  <c r="BL19"/>
  <c r="BK19"/>
  <c r="BJ19"/>
  <c r="BI19"/>
  <c r="BH19"/>
  <c r="BG19"/>
  <c r="BF19"/>
  <c r="BE19"/>
  <c r="BD19"/>
  <c r="BC19"/>
  <c r="BB19"/>
  <c r="BA19"/>
  <c r="AZ19"/>
  <c r="AY19"/>
  <c r="AX19"/>
  <c r="AW19"/>
  <c r="AV19"/>
  <c r="AU19"/>
  <c r="AT19"/>
  <c r="AS19"/>
  <c r="AR19"/>
  <c r="AP19"/>
  <c r="AO19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A19"/>
  <c r="BS18"/>
  <c r="BR18"/>
  <c r="BQ18"/>
  <c r="BP18"/>
  <c r="BO18"/>
  <c r="BN18"/>
  <c r="BM18"/>
  <c r="BL18"/>
  <c r="BK18"/>
  <c r="BJ18"/>
  <c r="BI18"/>
  <c r="BH18"/>
  <c r="BG18"/>
  <c r="BF18"/>
  <c r="BE18"/>
  <c r="BD18"/>
  <c r="BC18"/>
  <c r="BB18"/>
  <c r="BA18"/>
  <c r="AZ18"/>
  <c r="AY18"/>
  <c r="AX18"/>
  <c r="AW18"/>
  <c r="AV18"/>
  <c r="AU18"/>
  <c r="AT18"/>
  <c r="AS18"/>
  <c r="AR18"/>
  <c r="AP18"/>
  <c r="AO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A18"/>
  <c r="BS17"/>
  <c r="BR17"/>
  <c r="BQ17"/>
  <c r="BP17"/>
  <c r="BO17"/>
  <c r="BN17"/>
  <c r="BM17"/>
  <c r="BL17"/>
  <c r="BK17"/>
  <c r="BJ17"/>
  <c r="BI17"/>
  <c r="BH17"/>
  <c r="BG17"/>
  <c r="BF17"/>
  <c r="BE17"/>
  <c r="BD17"/>
  <c r="BC17"/>
  <c r="BB17"/>
  <c r="BA17"/>
  <c r="AZ17"/>
  <c r="AY17"/>
  <c r="AX17"/>
  <c r="AW17"/>
  <c r="AV17"/>
  <c r="AU17"/>
  <c r="AT17"/>
  <c r="AS17"/>
  <c r="AR17"/>
  <c r="AP17"/>
  <c r="AO17"/>
  <c r="AM17"/>
  <c r="AL17"/>
  <c r="AK17"/>
  <c r="AJ17"/>
  <c r="AI17"/>
  <c r="AH17"/>
  <c r="AG17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A17"/>
  <c r="BS16"/>
  <c r="BR16"/>
  <c r="BQ16"/>
  <c r="BP16"/>
  <c r="BO16"/>
  <c r="BN16"/>
  <c r="BM16"/>
  <c r="BL16"/>
  <c r="BK16"/>
  <c r="BJ16"/>
  <c r="BI16"/>
  <c r="BH16"/>
  <c r="BG16"/>
  <c r="BF16"/>
  <c r="BE16"/>
  <c r="BD16"/>
  <c r="BC16"/>
  <c r="BB16"/>
  <c r="BA16"/>
  <c r="AZ16"/>
  <c r="AY16"/>
  <c r="AX16"/>
  <c r="AW16"/>
  <c r="AV16"/>
  <c r="AU16"/>
  <c r="AT16"/>
  <c r="AS16"/>
  <c r="AR16"/>
  <c r="AQ16"/>
  <c r="AP16"/>
  <c r="AO16"/>
  <c r="AN16"/>
  <c r="AM16"/>
  <c r="AL16"/>
  <c r="AK16"/>
  <c r="AJ16"/>
  <c r="AI16"/>
  <c r="AH16"/>
  <c r="AG16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A16"/>
  <c r="BS15"/>
  <c r="BR15"/>
  <c r="BQ15"/>
  <c r="BP15"/>
  <c r="BO15"/>
  <c r="BN15"/>
  <c r="BM15"/>
  <c r="BL15"/>
  <c r="BK15"/>
  <c r="BJ15"/>
  <c r="BI15"/>
  <c r="BH15"/>
  <c r="BG15"/>
  <c r="BF15"/>
  <c r="BE15"/>
  <c r="BD15"/>
  <c r="BC15"/>
  <c r="BB15"/>
  <c r="BA15"/>
  <c r="AZ15"/>
  <c r="AY15"/>
  <c r="AX15"/>
  <c r="AW15"/>
  <c r="AV15"/>
  <c r="AU15"/>
  <c r="AT15"/>
  <c r="AS15"/>
  <c r="AR15"/>
  <c r="AQ15"/>
  <c r="AP15"/>
  <c r="AO15"/>
  <c r="AN15"/>
  <c r="AM15"/>
  <c r="AL15"/>
  <c r="AK15"/>
  <c r="AJ15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A15"/>
  <c r="BS14"/>
  <c r="BR14"/>
  <c r="BQ14"/>
  <c r="BP14"/>
  <c r="BO14"/>
  <c r="BN14"/>
  <c r="BM14"/>
  <c r="BL14"/>
  <c r="BK14"/>
  <c r="BJ14"/>
  <c r="BI14"/>
  <c r="BH14"/>
  <c r="BG14"/>
  <c r="BF14"/>
  <c r="BE14"/>
  <c r="BD14"/>
  <c r="BC14"/>
  <c r="BB14"/>
  <c r="BA14"/>
  <c r="AZ14"/>
  <c r="AY14"/>
  <c r="AX14"/>
  <c r="AW14"/>
  <c r="AV14"/>
  <c r="AU14"/>
  <c r="AT14"/>
  <c r="AS14"/>
  <c r="AR14"/>
  <c r="AQ14"/>
  <c r="AP14"/>
  <c r="AO14"/>
  <c r="AN14"/>
  <c r="AM14"/>
  <c r="AL14"/>
  <c r="AK14"/>
  <c r="AJ14"/>
  <c r="AI14"/>
  <c r="AH14"/>
  <c r="AG14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A14"/>
</calcChain>
</file>

<file path=xl/sharedStrings.xml><?xml version="1.0" encoding="utf-8"?>
<sst xmlns="http://schemas.openxmlformats.org/spreadsheetml/2006/main" count="110" uniqueCount="39">
  <si>
    <t>№ п/п</t>
  </si>
  <si>
    <t>Адрес</t>
  </si>
  <si>
    <t>Виды работ по капитальному ремонту общего имущества МКД, которые финансируются за счет средств фонда капитального ремонта (по установленному минимальному размеру)</t>
  </si>
  <si>
    <t>Год ввода в эксплуатацию</t>
  </si>
  <si>
    <t>Ремонт внутридомовых инженерных систем</t>
  </si>
  <si>
    <t>Ремонт сетей электроснабжения</t>
  </si>
  <si>
    <t>Год последнего ремонта</t>
  </si>
  <si>
    <t>Износ, %</t>
  </si>
  <si>
    <t>Планируемый год ремонта</t>
  </si>
  <si>
    <t>Прибор учета</t>
  </si>
  <si>
    <t>Установлен</t>
  </si>
  <si>
    <t>Ремонт сетей теплоснабжения</t>
  </si>
  <si>
    <t>Узел управления</t>
  </si>
  <si>
    <t>Ремонт сетей газоснабжения</t>
  </si>
  <si>
    <t>Ремонт сетей холодного водоснабжения</t>
  </si>
  <si>
    <t>Ремонт систем водоотведения</t>
  </si>
  <si>
    <t>Ремонт крыши</t>
  </si>
  <si>
    <t>Наличие</t>
  </si>
  <si>
    <t>Ремонт подвальных помещений</t>
  </si>
  <si>
    <t>Утепление и ремонт фасадов</t>
  </si>
  <si>
    <t>Ремонт фундаментов</t>
  </si>
  <si>
    <t>Ввод сведений по капитальному ремонту</t>
  </si>
  <si>
    <t>Полностью</t>
  </si>
  <si>
    <t>Частично</t>
  </si>
  <si>
    <t>Не заполнено</t>
  </si>
  <si>
    <t>Район/Городской округ</t>
  </si>
  <si>
    <t>Всего домов</t>
  </si>
  <si>
    <t>Процент заполнения</t>
  </si>
  <si>
    <t>ИТОГО:</t>
  </si>
  <si>
    <t>МО - прибор учета или узел управления находится на балансе муниципального образования или предприятия</t>
  </si>
  <si>
    <t>Планируемый период ремонта</t>
  </si>
  <si>
    <t>Кирилловский р-н</t>
  </si>
  <si>
    <t>Приложение 1</t>
  </si>
  <si>
    <t>к муниципальной программе</t>
  </si>
  <si>
    <t>Капитальный ремонт общего имущества многоквартирных домов Кирилловского муниципального района</t>
  </si>
  <si>
    <t>к постановлению администрации района</t>
  </si>
  <si>
    <t>от _________________ № _____</t>
  </si>
  <si>
    <t>"Приложение 1</t>
  </si>
  <si>
    <t>".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</si>
</sst>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charset val="204"/>
    </font>
    <font>
      <sz val="8"/>
      <color theme="1"/>
      <name val="Arial"/>
      <charset val="204"/>
    </font>
    <font>
      <b/>
      <sz val="8"/>
      <color theme="1"/>
      <name val="Arial"/>
      <charset val="204"/>
    </font>
    <font>
      <sz val="10"/>
      <color theme="1"/>
      <name val="Arial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theme="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3" fontId="2" fillId="3" borderId="1" xfId="0" applyNumberFormat="1" applyFont="1" applyFill="1" applyBorder="1" applyAlignment="1">
      <alignment horizontal="right" vertical="center"/>
    </xf>
    <xf numFmtId="2" fontId="2" fillId="3" borderId="1" xfId="0" applyNumberFormat="1" applyFont="1" applyFill="1" applyBorder="1" applyAlignment="1">
      <alignment horizontal="right" vertical="center"/>
    </xf>
    <xf numFmtId="0" fontId="0" fillId="4" borderId="0" xfId="0" applyFill="1"/>
    <xf numFmtId="0" fontId="0" fillId="5" borderId="0" xfId="0" applyFill="1"/>
    <xf numFmtId="0" fontId="0" fillId="6" borderId="0" xfId="0" applyFill="1"/>
    <xf numFmtId="0" fontId="5" fillId="6" borderId="0" xfId="0" applyFont="1" applyFill="1"/>
    <xf numFmtId="0" fontId="4" fillId="6" borderId="0" xfId="0" applyFont="1" applyFill="1" applyAlignment="1">
      <alignment vertical="center"/>
    </xf>
    <xf numFmtId="0" fontId="0" fillId="0" borderId="0" xfId="0" applyFill="1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vertical="center"/>
    </xf>
    <xf numFmtId="0" fontId="1" fillId="0" borderId="0" xfId="0" applyFont="1" applyFill="1"/>
    <xf numFmtId="0" fontId="6" fillId="0" borderId="0" xfId="0" applyFont="1" applyFill="1"/>
    <xf numFmtId="0" fontId="1" fillId="0" borderId="1" xfId="0" applyFont="1" applyFill="1" applyBorder="1" applyAlignment="1">
      <alignment horizontal="center" textRotation="90"/>
    </xf>
    <xf numFmtId="0" fontId="6" fillId="0" borderId="1" xfId="0" applyFont="1" applyFill="1" applyBorder="1" applyAlignment="1">
      <alignment horizontal="center" textRotation="90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/>
    <xf numFmtId="0" fontId="8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textRotation="90"/>
    </xf>
    <xf numFmtId="0" fontId="2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textRotation="90"/>
    </xf>
    <xf numFmtId="0" fontId="1" fillId="0" borderId="5" xfId="0" applyFont="1" applyFill="1" applyBorder="1" applyAlignment="1">
      <alignment horizontal="center" textRotation="90"/>
    </xf>
    <xf numFmtId="0" fontId="2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FF"/>
      <color rgb="FF33CCFF"/>
      <color rgb="FF00FF00"/>
      <color rgb="FF3366FF"/>
      <color rgb="FFCC0099"/>
      <color rgb="FFFF4F4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71FFB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O215"/>
  <sheetViews>
    <sheetView tabSelected="1" zoomScale="57" zoomScaleNormal="57" workbookViewId="0">
      <selection activeCell="H167" sqref="H167"/>
    </sheetView>
  </sheetViews>
  <sheetFormatPr defaultColWidth="8.85546875" defaultRowHeight="12.75" customHeight="1"/>
  <cols>
    <col min="1" max="1" width="7.140625" style="11" customWidth="1"/>
    <col min="2" max="2" width="33" style="11" customWidth="1"/>
    <col min="3" max="3" width="6.7109375" style="11" customWidth="1"/>
    <col min="4" max="5" width="4.5703125" style="11" customWidth="1"/>
    <col min="6" max="6" width="8.42578125" style="11" customWidth="1"/>
    <col min="7" max="9" width="4.5703125" style="11" customWidth="1"/>
    <col min="10" max="10" width="8.42578125" style="11" customWidth="1"/>
    <col min="11" max="13" width="4.5703125" style="11" customWidth="1"/>
    <col min="14" max="14" width="8.42578125" style="11" customWidth="1"/>
    <col min="15" max="16" width="4.5703125" style="11" customWidth="1"/>
    <col min="17" max="17" width="8.42578125" style="11" customWidth="1"/>
    <col min="18" max="20" width="4.5703125" style="11" customWidth="1"/>
    <col min="21" max="21" width="8.42578125" style="11" customWidth="1"/>
    <col min="22" max="24" width="4.5703125" style="11" customWidth="1"/>
    <col min="25" max="25" width="8.42578125" style="11" customWidth="1"/>
    <col min="26" max="27" width="4.5703125" style="11" customWidth="1"/>
    <col min="28" max="28" width="8.42578125" style="11" customWidth="1"/>
    <col min="29" max="31" width="4.5703125" style="11" customWidth="1"/>
    <col min="32" max="32" width="8.42578125" style="11" customWidth="1"/>
    <col min="33" max="35" width="4.5703125" style="11" customWidth="1"/>
    <col min="36" max="36" width="8.42578125" style="11" customWidth="1"/>
    <col min="37" max="38" width="4.5703125" style="11" customWidth="1"/>
    <col min="39" max="39" width="8.42578125" style="11" customWidth="1"/>
    <col min="40" max="40" width="4.5703125" style="12" customWidth="1"/>
    <col min="41" max="42" width="4.5703125" style="11" customWidth="1"/>
    <col min="43" max="43" width="8.42578125" style="11" customWidth="1"/>
    <col min="44" max="46" width="4.5703125" style="11" customWidth="1"/>
    <col min="47" max="47" width="8.42578125" style="11" customWidth="1"/>
    <col min="48" max="49" width="4.5703125" style="11" customWidth="1"/>
    <col min="50" max="50" width="8.42578125" style="11" customWidth="1"/>
    <col min="51" max="53" width="4.5703125" style="11" customWidth="1"/>
    <col min="54" max="54" width="8.42578125" style="11" customWidth="1"/>
    <col min="55" max="57" width="4.5703125" style="11" customWidth="1"/>
    <col min="58" max="58" width="8.42578125" style="11" customWidth="1"/>
    <col min="59" max="60" width="4.5703125" style="11" customWidth="1"/>
    <col min="61" max="61" width="8.42578125" style="11" customWidth="1"/>
    <col min="62" max="64" width="4.5703125" style="11" customWidth="1"/>
    <col min="65" max="65" width="8.42578125" style="11" customWidth="1"/>
    <col min="66" max="67" width="4.5703125" style="11" customWidth="1"/>
    <col min="68" max="68" width="8.42578125" style="11" customWidth="1"/>
    <col min="69" max="70" width="4.5703125" style="11" customWidth="1"/>
    <col min="71" max="71" width="8.42578125" style="11" customWidth="1"/>
    <col min="72" max="119" width="8.85546875" style="11"/>
  </cols>
  <sheetData>
    <row r="1" spans="1:119" ht="20.45" customHeight="1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5" t="s">
        <v>32</v>
      </c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6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</row>
    <row r="2" spans="1:119" ht="17.45" customHeight="1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5" t="s">
        <v>35</v>
      </c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6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</row>
    <row r="3" spans="1:119" ht="16.899999999999999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5" t="s">
        <v>36</v>
      </c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6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</row>
    <row r="4" spans="1:119" ht="24.6" customHeight="1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5" t="s">
        <v>37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6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</row>
    <row r="5" spans="1:119" s="13" customFormat="1" ht="12.6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5" t="s">
        <v>33</v>
      </c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</row>
    <row r="6" spans="1:119" ht="12.75" customHeight="1">
      <c r="A6" s="43" t="s">
        <v>34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6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</row>
    <row r="7" spans="1:119" ht="11.25" customHeight="1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9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</row>
    <row r="8" spans="1:119" ht="14.25" customHeight="1">
      <c r="A8" s="33" t="s">
        <v>0</v>
      </c>
      <c r="B8" s="33" t="s">
        <v>1</v>
      </c>
      <c r="C8" s="34" t="s">
        <v>3</v>
      </c>
      <c r="D8" s="35" t="s">
        <v>2</v>
      </c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</row>
    <row r="9" spans="1:119" ht="22.5" customHeight="1">
      <c r="A9" s="33"/>
      <c r="B9" s="33"/>
      <c r="C9" s="34"/>
      <c r="D9" s="35" t="s">
        <v>4</v>
      </c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 t="s">
        <v>16</v>
      </c>
      <c r="BH9" s="35"/>
      <c r="BI9" s="35"/>
      <c r="BJ9" s="36" t="s">
        <v>18</v>
      </c>
      <c r="BK9" s="36"/>
      <c r="BL9" s="36"/>
      <c r="BM9" s="37"/>
      <c r="BN9" s="40" t="s">
        <v>19</v>
      </c>
      <c r="BO9" s="40"/>
      <c r="BP9" s="40"/>
      <c r="BQ9" s="40" t="s">
        <v>20</v>
      </c>
      <c r="BR9" s="40"/>
      <c r="BS9" s="40"/>
    </row>
    <row r="10" spans="1:119" ht="14.25" customHeight="1">
      <c r="A10" s="33"/>
      <c r="B10" s="33"/>
      <c r="C10" s="34"/>
      <c r="D10" s="35" t="s">
        <v>5</v>
      </c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 t="s">
        <v>11</v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 t="s">
        <v>13</v>
      </c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 t="s">
        <v>14</v>
      </c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 t="s">
        <v>15</v>
      </c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8"/>
      <c r="BK10" s="39"/>
      <c r="BL10" s="39"/>
      <c r="BM10" s="39"/>
      <c r="BN10" s="40"/>
      <c r="BO10" s="40"/>
      <c r="BP10" s="40"/>
      <c r="BQ10" s="40"/>
      <c r="BR10" s="40"/>
      <c r="BS10" s="40"/>
    </row>
    <row r="11" spans="1:119" ht="14.25" customHeight="1">
      <c r="A11" s="33"/>
      <c r="B11" s="33"/>
      <c r="C11" s="34"/>
      <c r="D11" s="34" t="s">
        <v>6</v>
      </c>
      <c r="E11" s="34" t="s">
        <v>7</v>
      </c>
      <c r="F11" s="34" t="s">
        <v>30</v>
      </c>
      <c r="G11" s="41" t="s">
        <v>9</v>
      </c>
      <c r="H11" s="42"/>
      <c r="I11" s="42"/>
      <c r="J11" s="42"/>
      <c r="K11" s="35" t="s">
        <v>12</v>
      </c>
      <c r="L11" s="35"/>
      <c r="M11" s="35"/>
      <c r="N11" s="35"/>
      <c r="O11" s="34" t="s">
        <v>6</v>
      </c>
      <c r="P11" s="34" t="s">
        <v>7</v>
      </c>
      <c r="Q11" s="34" t="s">
        <v>8</v>
      </c>
      <c r="R11" s="41" t="s">
        <v>9</v>
      </c>
      <c r="S11" s="42"/>
      <c r="T11" s="42"/>
      <c r="U11" s="42"/>
      <c r="V11" s="35" t="s">
        <v>12</v>
      </c>
      <c r="W11" s="35"/>
      <c r="X11" s="35"/>
      <c r="Y11" s="35"/>
      <c r="Z11" s="34" t="s">
        <v>6</v>
      </c>
      <c r="AA11" s="34" t="s">
        <v>7</v>
      </c>
      <c r="AB11" s="34" t="s">
        <v>8</v>
      </c>
      <c r="AC11" s="41" t="s">
        <v>9</v>
      </c>
      <c r="AD11" s="42"/>
      <c r="AE11" s="42"/>
      <c r="AF11" s="42"/>
      <c r="AG11" s="35" t="s">
        <v>12</v>
      </c>
      <c r="AH11" s="35"/>
      <c r="AI11" s="35"/>
      <c r="AJ11" s="35"/>
      <c r="AK11" s="34" t="s">
        <v>6</v>
      </c>
      <c r="AL11" s="34" t="s">
        <v>7</v>
      </c>
      <c r="AM11" s="34" t="s">
        <v>8</v>
      </c>
      <c r="AN11" s="41" t="s">
        <v>9</v>
      </c>
      <c r="AO11" s="42"/>
      <c r="AP11" s="42"/>
      <c r="AQ11" s="42"/>
      <c r="AR11" s="35" t="s">
        <v>12</v>
      </c>
      <c r="AS11" s="35"/>
      <c r="AT11" s="35"/>
      <c r="AU11" s="35"/>
      <c r="AV11" s="34" t="s">
        <v>6</v>
      </c>
      <c r="AW11" s="34" t="s">
        <v>7</v>
      </c>
      <c r="AX11" s="34" t="s">
        <v>30</v>
      </c>
      <c r="AY11" s="41" t="s">
        <v>9</v>
      </c>
      <c r="AZ11" s="42"/>
      <c r="BA11" s="42"/>
      <c r="BB11" s="42"/>
      <c r="BC11" s="35" t="s">
        <v>12</v>
      </c>
      <c r="BD11" s="35"/>
      <c r="BE11" s="35"/>
      <c r="BF11" s="35"/>
      <c r="BG11" s="34" t="s">
        <v>6</v>
      </c>
      <c r="BH11" s="34" t="s">
        <v>7</v>
      </c>
      <c r="BI11" s="34" t="s">
        <v>30</v>
      </c>
      <c r="BJ11" s="44" t="s">
        <v>17</v>
      </c>
      <c r="BK11" s="34" t="s">
        <v>6</v>
      </c>
      <c r="BL11" s="34" t="s">
        <v>7</v>
      </c>
      <c r="BM11" s="34" t="s">
        <v>30</v>
      </c>
      <c r="BN11" s="34" t="s">
        <v>6</v>
      </c>
      <c r="BO11" s="34" t="s">
        <v>7</v>
      </c>
      <c r="BP11" s="34" t="s">
        <v>30</v>
      </c>
      <c r="BQ11" s="34" t="s">
        <v>6</v>
      </c>
      <c r="BR11" s="34" t="s">
        <v>7</v>
      </c>
      <c r="BS11" s="34" t="s">
        <v>30</v>
      </c>
    </row>
    <row r="12" spans="1:119" ht="120" customHeight="1">
      <c r="A12" s="33"/>
      <c r="B12" s="33"/>
      <c r="C12" s="34"/>
      <c r="D12" s="34"/>
      <c r="E12" s="34"/>
      <c r="F12" s="34"/>
      <c r="G12" s="20" t="s">
        <v>10</v>
      </c>
      <c r="H12" s="20" t="s">
        <v>6</v>
      </c>
      <c r="I12" s="20" t="s">
        <v>7</v>
      </c>
      <c r="J12" s="20" t="s">
        <v>30</v>
      </c>
      <c r="K12" s="20" t="s">
        <v>10</v>
      </c>
      <c r="L12" s="20" t="s">
        <v>6</v>
      </c>
      <c r="M12" s="20" t="s">
        <v>7</v>
      </c>
      <c r="N12" s="20" t="s">
        <v>30</v>
      </c>
      <c r="O12" s="34"/>
      <c r="P12" s="34"/>
      <c r="Q12" s="34"/>
      <c r="R12" s="20" t="s">
        <v>10</v>
      </c>
      <c r="S12" s="20" t="s">
        <v>6</v>
      </c>
      <c r="T12" s="20" t="s">
        <v>7</v>
      </c>
      <c r="U12" s="20" t="s">
        <v>30</v>
      </c>
      <c r="V12" s="20" t="s">
        <v>10</v>
      </c>
      <c r="W12" s="20" t="s">
        <v>6</v>
      </c>
      <c r="X12" s="20" t="s">
        <v>7</v>
      </c>
      <c r="Y12" s="20" t="s">
        <v>30</v>
      </c>
      <c r="Z12" s="34"/>
      <c r="AA12" s="34"/>
      <c r="AB12" s="34"/>
      <c r="AC12" s="20" t="s">
        <v>10</v>
      </c>
      <c r="AD12" s="20" t="s">
        <v>6</v>
      </c>
      <c r="AE12" s="20" t="s">
        <v>7</v>
      </c>
      <c r="AF12" s="20" t="s">
        <v>30</v>
      </c>
      <c r="AG12" s="20" t="s">
        <v>10</v>
      </c>
      <c r="AH12" s="20" t="s">
        <v>6</v>
      </c>
      <c r="AI12" s="20" t="s">
        <v>7</v>
      </c>
      <c r="AJ12" s="20" t="s">
        <v>30</v>
      </c>
      <c r="AK12" s="34"/>
      <c r="AL12" s="34"/>
      <c r="AM12" s="34"/>
      <c r="AN12" s="21" t="s">
        <v>10</v>
      </c>
      <c r="AO12" s="20" t="s">
        <v>6</v>
      </c>
      <c r="AP12" s="20" t="s">
        <v>7</v>
      </c>
      <c r="AQ12" s="20" t="s">
        <v>30</v>
      </c>
      <c r="AR12" s="20" t="s">
        <v>10</v>
      </c>
      <c r="AS12" s="20" t="s">
        <v>6</v>
      </c>
      <c r="AT12" s="20" t="s">
        <v>7</v>
      </c>
      <c r="AU12" s="20" t="s">
        <v>30</v>
      </c>
      <c r="AV12" s="34"/>
      <c r="AW12" s="34"/>
      <c r="AX12" s="34"/>
      <c r="AY12" s="20" t="s">
        <v>10</v>
      </c>
      <c r="AZ12" s="20" t="s">
        <v>6</v>
      </c>
      <c r="BA12" s="20" t="s">
        <v>7</v>
      </c>
      <c r="BB12" s="20" t="s">
        <v>30</v>
      </c>
      <c r="BC12" s="20" t="s">
        <v>10</v>
      </c>
      <c r="BD12" s="20" t="s">
        <v>6</v>
      </c>
      <c r="BE12" s="20" t="s">
        <v>7</v>
      </c>
      <c r="BF12" s="20" t="s">
        <v>30</v>
      </c>
      <c r="BG12" s="34"/>
      <c r="BH12" s="34"/>
      <c r="BI12" s="34"/>
      <c r="BJ12" s="45"/>
      <c r="BK12" s="34"/>
      <c r="BL12" s="34"/>
      <c r="BM12" s="34"/>
      <c r="BN12" s="34"/>
      <c r="BO12" s="34"/>
      <c r="BP12" s="34"/>
      <c r="BQ12" s="34"/>
      <c r="BR12" s="34"/>
      <c r="BS12" s="34"/>
    </row>
    <row r="13" spans="1:119" ht="11.25" customHeight="1">
      <c r="A13" s="22">
        <v>1</v>
      </c>
      <c r="B13" s="22">
        <v>2</v>
      </c>
      <c r="C13" s="22">
        <v>3</v>
      </c>
      <c r="D13" s="22">
        <v>4</v>
      </c>
      <c r="E13" s="22">
        <v>5</v>
      </c>
      <c r="F13" s="22">
        <v>6</v>
      </c>
      <c r="G13" s="22">
        <v>7</v>
      </c>
      <c r="H13" s="22">
        <v>8</v>
      </c>
      <c r="I13" s="22">
        <v>9</v>
      </c>
      <c r="J13" s="22">
        <v>10</v>
      </c>
      <c r="K13" s="22">
        <v>11</v>
      </c>
      <c r="L13" s="22">
        <v>12</v>
      </c>
      <c r="M13" s="22">
        <v>13</v>
      </c>
      <c r="N13" s="22">
        <v>14</v>
      </c>
      <c r="O13" s="22">
        <v>15</v>
      </c>
      <c r="P13" s="22">
        <v>16</v>
      </c>
      <c r="Q13" s="22">
        <v>17</v>
      </c>
      <c r="R13" s="22">
        <v>18</v>
      </c>
      <c r="S13" s="22">
        <v>19</v>
      </c>
      <c r="T13" s="22">
        <v>20</v>
      </c>
      <c r="U13" s="22">
        <v>21</v>
      </c>
      <c r="V13" s="22">
        <v>22</v>
      </c>
      <c r="W13" s="22">
        <v>23</v>
      </c>
      <c r="X13" s="22">
        <v>24</v>
      </c>
      <c r="Y13" s="22">
        <v>25</v>
      </c>
      <c r="Z13" s="22">
        <v>26</v>
      </c>
      <c r="AA13" s="22">
        <v>27</v>
      </c>
      <c r="AB13" s="22">
        <v>28</v>
      </c>
      <c r="AC13" s="22">
        <v>29</v>
      </c>
      <c r="AD13" s="22">
        <v>30</v>
      </c>
      <c r="AE13" s="22">
        <v>31</v>
      </c>
      <c r="AF13" s="22">
        <v>32</v>
      </c>
      <c r="AG13" s="22">
        <v>33</v>
      </c>
      <c r="AH13" s="22">
        <v>34</v>
      </c>
      <c r="AI13" s="22">
        <v>35</v>
      </c>
      <c r="AJ13" s="22">
        <v>36</v>
      </c>
      <c r="AK13" s="22">
        <v>37</v>
      </c>
      <c r="AL13" s="22">
        <v>38</v>
      </c>
      <c r="AM13" s="22">
        <v>39</v>
      </c>
      <c r="AN13" s="23">
        <v>40</v>
      </c>
      <c r="AO13" s="22">
        <v>41</v>
      </c>
      <c r="AP13" s="22">
        <v>42</v>
      </c>
      <c r="AQ13" s="22">
        <v>43</v>
      </c>
      <c r="AR13" s="22">
        <v>44</v>
      </c>
      <c r="AS13" s="22">
        <v>45</v>
      </c>
      <c r="AT13" s="22">
        <v>46</v>
      </c>
      <c r="AU13" s="22">
        <v>47</v>
      </c>
      <c r="AV13" s="22">
        <v>59</v>
      </c>
      <c r="AW13" s="22">
        <v>60</v>
      </c>
      <c r="AX13" s="22">
        <v>61</v>
      </c>
      <c r="AY13" s="22">
        <v>62</v>
      </c>
      <c r="AZ13" s="22">
        <v>63</v>
      </c>
      <c r="BA13" s="22">
        <v>64</v>
      </c>
      <c r="BB13" s="22">
        <v>65</v>
      </c>
      <c r="BC13" s="22">
        <v>66</v>
      </c>
      <c r="BD13" s="22">
        <v>67</v>
      </c>
      <c r="BE13" s="22">
        <v>68</v>
      </c>
      <c r="BF13" s="22">
        <v>69</v>
      </c>
      <c r="BG13" s="22">
        <v>70</v>
      </c>
      <c r="BH13" s="22">
        <v>71</v>
      </c>
      <c r="BI13" s="22">
        <v>72</v>
      </c>
      <c r="BJ13" s="22">
        <v>77</v>
      </c>
      <c r="BK13" s="22">
        <v>78</v>
      </c>
      <c r="BL13" s="22">
        <v>79</v>
      </c>
      <c r="BM13" s="22">
        <v>80</v>
      </c>
      <c r="BN13" s="22">
        <v>81</v>
      </c>
      <c r="BO13" s="22">
        <v>82</v>
      </c>
      <c r="BP13" s="22">
        <v>83</v>
      </c>
      <c r="BQ13" s="22">
        <v>84</v>
      </c>
      <c r="BR13" s="22">
        <v>85</v>
      </c>
      <c r="BS13" s="22">
        <v>86</v>
      </c>
    </row>
    <row r="14" spans="1:119" s="10" customFormat="1" ht="11.25" customHeight="1">
      <c r="A14" s="24" t="str">
        <f>"1.1"</f>
        <v>1.1</v>
      </c>
      <c r="B14" s="25" t="str">
        <f>"г. Кириллов, ул. Белозерская, д.33"</f>
        <v>г. Кириллов, ул. Белозерская, д.33</v>
      </c>
      <c r="C14" s="26" t="str">
        <f>"1994"</f>
        <v>1994</v>
      </c>
      <c r="D14" s="27" t="str">
        <f>""</f>
        <v/>
      </c>
      <c r="E14" s="27" t="str">
        <f>"50,00"</f>
        <v>50,00</v>
      </c>
      <c r="F14" s="27" t="str">
        <f>"2027-2029"</f>
        <v>2027-2029</v>
      </c>
      <c r="G14" s="27" t="str">
        <f>"нет"</f>
        <v>нет</v>
      </c>
      <c r="H14" s="27" t="str">
        <f>""</f>
        <v/>
      </c>
      <c r="I14" s="27" t="str">
        <f>""</f>
        <v/>
      </c>
      <c r="J14" s="27" t="str">
        <f>""</f>
        <v/>
      </c>
      <c r="K14" s="27" t="str">
        <f t="shared" ref="K14:K45" si="0">"нет"</f>
        <v>нет</v>
      </c>
      <c r="L14" s="27" t="str">
        <f>""</f>
        <v/>
      </c>
      <c r="M14" s="27" t="str">
        <f>""</f>
        <v/>
      </c>
      <c r="N14" s="27" t="str">
        <f>""</f>
        <v/>
      </c>
      <c r="O14" s="28" t="str">
        <f>""</f>
        <v/>
      </c>
      <c r="P14" s="27" t="str">
        <f>""</f>
        <v/>
      </c>
      <c r="Q14" s="27" t="str">
        <f>""</f>
        <v/>
      </c>
      <c r="R14" s="27" t="str">
        <f>"нет"</f>
        <v>нет</v>
      </c>
      <c r="S14" s="27" t="str">
        <f>""</f>
        <v/>
      </c>
      <c r="T14" s="27" t="str">
        <f>""</f>
        <v/>
      </c>
      <c r="U14" s="27" t="str">
        <f>""</f>
        <v/>
      </c>
      <c r="V14" s="27" t="str">
        <f t="shared" ref="V14:V45" si="1">"нет"</f>
        <v>нет</v>
      </c>
      <c r="W14" s="27" t="str">
        <f>""</f>
        <v/>
      </c>
      <c r="X14" s="27" t="str">
        <f>""</f>
        <v/>
      </c>
      <c r="Y14" s="29" t="str">
        <f>""</f>
        <v/>
      </c>
      <c r="Z14" s="27" t="str">
        <f t="shared" ref="Z14:AB31" si="2">"х"</f>
        <v>х</v>
      </c>
      <c r="AA14" s="27" t="str">
        <f t="shared" si="2"/>
        <v>х</v>
      </c>
      <c r="AB14" s="27" t="str">
        <f t="shared" si="2"/>
        <v>х</v>
      </c>
      <c r="AC14" s="27" t="str">
        <f t="shared" ref="AC14:AC45" si="3">"нет"</f>
        <v>нет</v>
      </c>
      <c r="AD14" s="27" t="str">
        <f t="shared" ref="AD14:AF33" si="4">"х"</f>
        <v>х</v>
      </c>
      <c r="AE14" s="27" t="str">
        <f t="shared" si="4"/>
        <v>х</v>
      </c>
      <c r="AF14" s="27" t="str">
        <f t="shared" si="4"/>
        <v>х</v>
      </c>
      <c r="AG14" s="27" t="str">
        <f t="shared" ref="AG14:AG61" si="5">"нет"</f>
        <v>нет</v>
      </c>
      <c r="AH14" s="27" t="str">
        <f t="shared" ref="AH14:AJ33" si="6">"х"</f>
        <v>х</v>
      </c>
      <c r="AI14" s="27" t="str">
        <f t="shared" si="6"/>
        <v>х</v>
      </c>
      <c r="AJ14" s="27" t="str">
        <f t="shared" si="6"/>
        <v>х</v>
      </c>
      <c r="AK14" s="28" t="str">
        <f>""</f>
        <v/>
      </c>
      <c r="AL14" s="27" t="str">
        <f>"50,00"</f>
        <v>50,00</v>
      </c>
      <c r="AM14" s="27" t="str">
        <f>"2033-2035"</f>
        <v>2033-2035</v>
      </c>
      <c r="AN14" s="30" t="str">
        <f t="shared" ref="AN14:AN25" si="7">"нет"</f>
        <v>нет</v>
      </c>
      <c r="AO14" s="27" t="str">
        <f>""</f>
        <v/>
      </c>
      <c r="AP14" s="27" t="str">
        <f>""</f>
        <v/>
      </c>
      <c r="AQ14" s="27" t="str">
        <f>""</f>
        <v/>
      </c>
      <c r="AR14" s="27" t="str">
        <f t="shared" ref="AR14:AR45" si="8">"нет"</f>
        <v>нет</v>
      </c>
      <c r="AS14" s="27" t="str">
        <f>""</f>
        <v/>
      </c>
      <c r="AT14" s="27" t="str">
        <f>""</f>
        <v/>
      </c>
      <c r="AU14" s="27" t="str">
        <f>""</f>
        <v/>
      </c>
      <c r="AV14" s="27" t="str">
        <f>""</f>
        <v/>
      </c>
      <c r="AW14" s="27" t="str">
        <f>"40,00"</f>
        <v>40,00</v>
      </c>
      <c r="AX14" s="27" t="str">
        <f>"2033-2035"</f>
        <v>2033-2035</v>
      </c>
      <c r="AY14" s="27" t="str">
        <f t="shared" ref="AY14:AY45" si="9">"нет"</f>
        <v>нет</v>
      </c>
      <c r="AZ14" s="27" t="str">
        <f>""</f>
        <v/>
      </c>
      <c r="BA14" s="27" t="str">
        <f>""</f>
        <v/>
      </c>
      <c r="BB14" s="27" t="str">
        <f>""</f>
        <v/>
      </c>
      <c r="BC14" s="27" t="str">
        <f t="shared" ref="BC14:BC45" si="10">"нет"</f>
        <v>нет</v>
      </c>
      <c r="BD14" s="27" t="str">
        <f>""</f>
        <v/>
      </c>
      <c r="BE14" s="27" t="str">
        <f>""</f>
        <v/>
      </c>
      <c r="BF14" s="27" t="str">
        <f>""</f>
        <v/>
      </c>
      <c r="BG14" s="27" t="str">
        <f>""</f>
        <v/>
      </c>
      <c r="BH14" s="27" t="str">
        <f>"60,00"</f>
        <v>60,00</v>
      </c>
      <c r="BI14" s="27" t="str">
        <f>"2023-2025"</f>
        <v>2023-2025</v>
      </c>
      <c r="BJ14" s="27" t="str">
        <f t="shared" ref="BJ14:BJ45" si="11">"нет"</f>
        <v>нет</v>
      </c>
      <c r="BK14" s="27" t="str">
        <f t="shared" ref="BK14:BK25" si="12">"x"</f>
        <v>x</v>
      </c>
      <c r="BL14" s="27" t="str">
        <f>"38,00"</f>
        <v>38,00</v>
      </c>
      <c r="BM14" s="27" t="str">
        <f>"2037-2039"</f>
        <v>2037-2039</v>
      </c>
      <c r="BN14" s="27" t="str">
        <f>""</f>
        <v/>
      </c>
      <c r="BO14" s="27" t="str">
        <f>"50,00"</f>
        <v>50,00</v>
      </c>
      <c r="BP14" s="27" t="str">
        <f>"2024-2026"</f>
        <v>2024-2026</v>
      </c>
      <c r="BQ14" s="27" t="str">
        <f>""</f>
        <v/>
      </c>
      <c r="BR14" s="27" t="str">
        <f>"38,00"</f>
        <v>38,00</v>
      </c>
      <c r="BS14" s="27" t="str">
        <f>"2037-2039"</f>
        <v>2037-2039</v>
      </c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</row>
    <row r="15" spans="1:119" s="10" customFormat="1" ht="11.25" customHeight="1">
      <c r="A15" s="24" t="str">
        <f>"1.2"</f>
        <v>1.2</v>
      </c>
      <c r="B15" s="25" t="str">
        <f>"г. Кириллов, ул. Белозерская, д.43"</f>
        <v>г. Кириллов, ул. Белозерская, д.43</v>
      </c>
      <c r="C15" s="26" t="str">
        <f>"1996"</f>
        <v>1996</v>
      </c>
      <c r="D15" s="27" t="str">
        <f>""</f>
        <v/>
      </c>
      <c r="E15" s="27" t="str">
        <f>"60,00"</f>
        <v>60,00</v>
      </c>
      <c r="F15" s="27" t="str">
        <f>"2027-2029"</f>
        <v>2027-2029</v>
      </c>
      <c r="G15" s="27" t="str">
        <f>"нет"</f>
        <v>нет</v>
      </c>
      <c r="H15" s="27" t="str">
        <f>""</f>
        <v/>
      </c>
      <c r="I15" s="27" t="str">
        <f>""</f>
        <v/>
      </c>
      <c r="J15" s="27" t="str">
        <f>""</f>
        <v/>
      </c>
      <c r="K15" s="27" t="str">
        <f t="shared" si="0"/>
        <v>нет</v>
      </c>
      <c r="L15" s="27" t="str">
        <f>""</f>
        <v/>
      </c>
      <c r="M15" s="27" t="str">
        <f>""</f>
        <v/>
      </c>
      <c r="N15" s="27" t="str">
        <f>""</f>
        <v/>
      </c>
      <c r="O15" s="28" t="str">
        <f>""</f>
        <v/>
      </c>
      <c r="P15" s="27" t="str">
        <f>""</f>
        <v/>
      </c>
      <c r="Q15" s="27" t="str">
        <f>""</f>
        <v/>
      </c>
      <c r="R15" s="27" t="str">
        <f>"нет"</f>
        <v>нет</v>
      </c>
      <c r="S15" s="27" t="str">
        <f>""</f>
        <v/>
      </c>
      <c r="T15" s="27" t="str">
        <f>""</f>
        <v/>
      </c>
      <c r="U15" s="27" t="str">
        <f>""</f>
        <v/>
      </c>
      <c r="V15" s="27" t="str">
        <f t="shared" si="1"/>
        <v>нет</v>
      </c>
      <c r="W15" s="27" t="str">
        <f>""</f>
        <v/>
      </c>
      <c r="X15" s="27" t="str">
        <f>""</f>
        <v/>
      </c>
      <c r="Y15" s="29" t="str">
        <f>""</f>
        <v/>
      </c>
      <c r="Z15" s="27" t="str">
        <f t="shared" si="2"/>
        <v>х</v>
      </c>
      <c r="AA15" s="27" t="str">
        <f t="shared" si="2"/>
        <v>х</v>
      </c>
      <c r="AB15" s="27" t="str">
        <f t="shared" si="2"/>
        <v>х</v>
      </c>
      <c r="AC15" s="27" t="str">
        <f t="shared" si="3"/>
        <v>нет</v>
      </c>
      <c r="AD15" s="27" t="str">
        <f t="shared" si="4"/>
        <v>х</v>
      </c>
      <c r="AE15" s="27" t="str">
        <f t="shared" si="4"/>
        <v>х</v>
      </c>
      <c r="AF15" s="27" t="str">
        <f t="shared" si="4"/>
        <v>х</v>
      </c>
      <c r="AG15" s="27" t="str">
        <f t="shared" si="5"/>
        <v>нет</v>
      </c>
      <c r="AH15" s="27" t="str">
        <f t="shared" si="6"/>
        <v>х</v>
      </c>
      <c r="AI15" s="27" t="str">
        <f t="shared" si="6"/>
        <v>х</v>
      </c>
      <c r="AJ15" s="27" t="str">
        <f t="shared" si="6"/>
        <v>х</v>
      </c>
      <c r="AK15" s="28" t="str">
        <f>""</f>
        <v/>
      </c>
      <c r="AL15" s="27" t="str">
        <f>"50,00"</f>
        <v>50,00</v>
      </c>
      <c r="AM15" s="27" t="str">
        <f>"2024-2026"</f>
        <v>2024-2026</v>
      </c>
      <c r="AN15" s="30" t="str">
        <f t="shared" si="7"/>
        <v>нет</v>
      </c>
      <c r="AO15" s="27" t="str">
        <f>""</f>
        <v/>
      </c>
      <c r="AP15" s="27" t="str">
        <f>""</f>
        <v/>
      </c>
      <c r="AQ15" s="27" t="str">
        <f>""</f>
        <v/>
      </c>
      <c r="AR15" s="27" t="str">
        <f t="shared" si="8"/>
        <v>нет</v>
      </c>
      <c r="AS15" s="27" t="str">
        <f>""</f>
        <v/>
      </c>
      <c r="AT15" s="27" t="str">
        <f>""</f>
        <v/>
      </c>
      <c r="AU15" s="27" t="str">
        <f>""</f>
        <v/>
      </c>
      <c r="AV15" s="27" t="str">
        <f>""</f>
        <v/>
      </c>
      <c r="AW15" s="27" t="str">
        <f>"34,00"</f>
        <v>34,00</v>
      </c>
      <c r="AX15" s="27" t="str">
        <f>"2036-2038"</f>
        <v>2036-2038</v>
      </c>
      <c r="AY15" s="27" t="str">
        <f t="shared" si="9"/>
        <v>нет</v>
      </c>
      <c r="AZ15" s="27" t="str">
        <f>""</f>
        <v/>
      </c>
      <c r="BA15" s="27" t="str">
        <f>""</f>
        <v/>
      </c>
      <c r="BB15" s="27" t="str">
        <f>""</f>
        <v/>
      </c>
      <c r="BC15" s="27" t="str">
        <f t="shared" si="10"/>
        <v>нет</v>
      </c>
      <c r="BD15" s="27" t="str">
        <f>""</f>
        <v/>
      </c>
      <c r="BE15" s="27" t="str">
        <f>""</f>
        <v/>
      </c>
      <c r="BF15" s="27" t="str">
        <f>""</f>
        <v/>
      </c>
      <c r="BG15" s="27" t="str">
        <f>""</f>
        <v/>
      </c>
      <c r="BH15" s="27" t="str">
        <f>"60,00"</f>
        <v>60,00</v>
      </c>
      <c r="BI15" s="27" t="str">
        <f>"2020-2022"</f>
        <v>2020-2022</v>
      </c>
      <c r="BJ15" s="27" t="str">
        <f t="shared" si="11"/>
        <v>нет</v>
      </c>
      <c r="BK15" s="27" t="str">
        <f t="shared" si="12"/>
        <v>x</v>
      </c>
      <c r="BL15" s="27" t="str">
        <f>"x"</f>
        <v>x</v>
      </c>
      <c r="BM15" s="27" t="str">
        <f>"2036-2038"</f>
        <v>2036-2038</v>
      </c>
      <c r="BN15" s="27" t="str">
        <f>""</f>
        <v/>
      </c>
      <c r="BO15" s="27" t="str">
        <f>"34,00"</f>
        <v>34,00</v>
      </c>
      <c r="BP15" s="27" t="str">
        <f>"2031-2033"</f>
        <v>2031-2033</v>
      </c>
      <c r="BQ15" s="27" t="str">
        <f>""</f>
        <v/>
      </c>
      <c r="BR15" s="27" t="str">
        <f>"34,00"</f>
        <v>34,00</v>
      </c>
      <c r="BS15" s="27" t="str">
        <f>"2036-2038"</f>
        <v>2036-2038</v>
      </c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</row>
    <row r="16" spans="1:119" s="9" customFormat="1" ht="11.25" customHeight="1">
      <c r="A16" s="24" t="str">
        <f>"1.3"</f>
        <v>1.3</v>
      </c>
      <c r="B16" s="25" t="str">
        <f>"г. Кириллов, ул. Белозерская, д.49"</f>
        <v>г. Кириллов, ул. Белозерская, д.49</v>
      </c>
      <c r="C16" s="26" t="str">
        <f>"1979"</f>
        <v>1979</v>
      </c>
      <c r="D16" s="27" t="str">
        <f>"2008"</f>
        <v>2008</v>
      </c>
      <c r="E16" s="27" t="str">
        <f>"20,00"</f>
        <v>20,00</v>
      </c>
      <c r="F16" s="27" t="str">
        <f>"2029-2031"</f>
        <v>2029-2031</v>
      </c>
      <c r="G16" s="27" t="str">
        <f>"да"</f>
        <v>да</v>
      </c>
      <c r="H16" s="27" t="str">
        <f>"2011"</f>
        <v>2011</v>
      </c>
      <c r="I16" s="27" t="str">
        <f>"13,00"</f>
        <v>13,00</v>
      </c>
      <c r="J16" s="27" t="str">
        <f>"2027-2029"</f>
        <v>2027-2029</v>
      </c>
      <c r="K16" s="27" t="str">
        <f t="shared" si="0"/>
        <v>нет</v>
      </c>
      <c r="L16" s="27" t="str">
        <f>""</f>
        <v/>
      </c>
      <c r="M16" s="27" t="str">
        <f>""</f>
        <v/>
      </c>
      <c r="N16" s="27" t="str">
        <f>""</f>
        <v/>
      </c>
      <c r="O16" s="28" t="str">
        <f>"х"</f>
        <v>х</v>
      </c>
      <c r="P16" s="27" t="str">
        <f>"х"</f>
        <v>х</v>
      </c>
      <c r="Q16" s="27" t="str">
        <f>"х"</f>
        <v>х</v>
      </c>
      <c r="R16" s="27" t="str">
        <f>"нет"</f>
        <v>нет</v>
      </c>
      <c r="S16" s="27" t="str">
        <f>"х"</f>
        <v>х</v>
      </c>
      <c r="T16" s="27" t="str">
        <f>"х"</f>
        <v>х</v>
      </c>
      <c r="U16" s="27" t="str">
        <f>"х"</f>
        <v>х</v>
      </c>
      <c r="V16" s="27" t="str">
        <f t="shared" si="1"/>
        <v>нет</v>
      </c>
      <c r="W16" s="27" t="str">
        <f>"х"</f>
        <v>х</v>
      </c>
      <c r="X16" s="27" t="str">
        <f>"х"</f>
        <v>х</v>
      </c>
      <c r="Y16" s="29" t="str">
        <f>"х"</f>
        <v>х</v>
      </c>
      <c r="Z16" s="27" t="str">
        <f t="shared" si="2"/>
        <v>х</v>
      </c>
      <c r="AA16" s="27" t="str">
        <f t="shared" si="2"/>
        <v>х</v>
      </c>
      <c r="AB16" s="27" t="str">
        <f t="shared" si="2"/>
        <v>х</v>
      </c>
      <c r="AC16" s="27" t="str">
        <f t="shared" si="3"/>
        <v>нет</v>
      </c>
      <c r="AD16" s="27" t="str">
        <f t="shared" si="4"/>
        <v>х</v>
      </c>
      <c r="AE16" s="27" t="str">
        <f t="shared" si="4"/>
        <v>х</v>
      </c>
      <c r="AF16" s="27" t="str">
        <f t="shared" si="4"/>
        <v>х</v>
      </c>
      <c r="AG16" s="27" t="str">
        <f t="shared" si="5"/>
        <v>нет</v>
      </c>
      <c r="AH16" s="27" t="str">
        <f t="shared" si="6"/>
        <v>х</v>
      </c>
      <c r="AI16" s="27" t="str">
        <f t="shared" si="6"/>
        <v>х</v>
      </c>
      <c r="AJ16" s="27" t="str">
        <f t="shared" si="6"/>
        <v>х</v>
      </c>
      <c r="AK16" s="28" t="str">
        <f>"х"</f>
        <v>х</v>
      </c>
      <c r="AL16" s="27" t="str">
        <f>"х"</f>
        <v>х</v>
      </c>
      <c r="AM16" s="27" t="str">
        <f>"х"</f>
        <v>х</v>
      </c>
      <c r="AN16" s="30" t="str">
        <f t="shared" si="7"/>
        <v>нет</v>
      </c>
      <c r="AO16" s="27" t="str">
        <f>"х"</f>
        <v>х</v>
      </c>
      <c r="AP16" s="27" t="str">
        <f>"х"</f>
        <v>х</v>
      </c>
      <c r="AQ16" s="27" t="str">
        <f>"х"</f>
        <v>х</v>
      </c>
      <c r="AR16" s="27" t="str">
        <f t="shared" si="8"/>
        <v>нет</v>
      </c>
      <c r="AS16" s="27" t="str">
        <f t="shared" ref="AS16:AX16" si="13">"х"</f>
        <v>х</v>
      </c>
      <c r="AT16" s="27" t="str">
        <f t="shared" si="13"/>
        <v>х</v>
      </c>
      <c r="AU16" s="27" t="str">
        <f t="shared" si="13"/>
        <v>х</v>
      </c>
      <c r="AV16" s="27" t="str">
        <f t="shared" si="13"/>
        <v>х</v>
      </c>
      <c r="AW16" s="27" t="str">
        <f t="shared" si="13"/>
        <v>х</v>
      </c>
      <c r="AX16" s="27" t="str">
        <f t="shared" si="13"/>
        <v>х</v>
      </c>
      <c r="AY16" s="27" t="str">
        <f t="shared" si="9"/>
        <v>нет</v>
      </c>
      <c r="AZ16" s="27" t="str">
        <f>"х"</f>
        <v>х</v>
      </c>
      <c r="BA16" s="27" t="str">
        <f>"х"</f>
        <v>х</v>
      </c>
      <c r="BB16" s="27" t="str">
        <f>"х"</f>
        <v>х</v>
      </c>
      <c r="BC16" s="27" t="str">
        <f t="shared" si="10"/>
        <v>нет</v>
      </c>
      <c r="BD16" s="27" t="str">
        <f>"х"</f>
        <v>х</v>
      </c>
      <c r="BE16" s="27" t="str">
        <f>"х"</f>
        <v>х</v>
      </c>
      <c r="BF16" s="27" t="str">
        <f>"х"</f>
        <v>х</v>
      </c>
      <c r="BG16" s="27" t="str">
        <f>""</f>
        <v/>
      </c>
      <c r="BH16" s="27" t="str">
        <f>"60,00"</f>
        <v>60,00</v>
      </c>
      <c r="BI16" s="27" t="str">
        <f>"2017-2019"</f>
        <v>2017-2019</v>
      </c>
      <c r="BJ16" s="27" t="str">
        <f t="shared" si="11"/>
        <v>нет</v>
      </c>
      <c r="BK16" s="27" t="str">
        <f t="shared" si="12"/>
        <v>x</v>
      </c>
      <c r="BL16" s="27" t="str">
        <f>"x"</f>
        <v>x</v>
      </c>
      <c r="BM16" s="27" t="str">
        <f>"2022-2024"</f>
        <v>2022-2024</v>
      </c>
      <c r="BN16" s="27" t="str">
        <f>""</f>
        <v/>
      </c>
      <c r="BO16" s="27" t="str">
        <f>"60,00"</f>
        <v>60,00</v>
      </c>
      <c r="BP16" s="27" t="str">
        <f>"2029-2031"</f>
        <v>2029-2031</v>
      </c>
      <c r="BQ16" s="27" t="str">
        <f>""</f>
        <v/>
      </c>
      <c r="BR16" s="27" t="str">
        <f>"40,00"</f>
        <v>40,00</v>
      </c>
      <c r="BS16" s="27" t="str">
        <f>"2022-2024"</f>
        <v>2022-2024</v>
      </c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</row>
    <row r="17" spans="1:119" s="9" customFormat="1" ht="11.25" customHeight="1">
      <c r="A17" s="24" t="str">
        <f>"1.4"</f>
        <v>1.4</v>
      </c>
      <c r="B17" s="25" t="str">
        <f>"г. Кириллов, ул. Братства, д.10"</f>
        <v>г. Кириллов, ул. Братства, д.10</v>
      </c>
      <c r="C17" s="26" t="str">
        <f>"1989"</f>
        <v>1989</v>
      </c>
      <c r="D17" s="27" t="str">
        <f>""</f>
        <v/>
      </c>
      <c r="E17" s="27" t="str">
        <f>"80,00"</f>
        <v>80,00</v>
      </c>
      <c r="F17" s="27" t="str">
        <f>"2021-2023"</f>
        <v>2021-2023</v>
      </c>
      <c r="G17" s="27" t="str">
        <f>"да"</f>
        <v>да</v>
      </c>
      <c r="H17" s="27" t="str">
        <f>"2007"</f>
        <v>2007</v>
      </c>
      <c r="I17" s="27" t="str">
        <f>"37,00"</f>
        <v>37,00</v>
      </c>
      <c r="J17" s="27" t="str">
        <f>"2023-2025"</f>
        <v>2023-2025</v>
      </c>
      <c r="K17" s="27" t="str">
        <f t="shared" si="0"/>
        <v>нет</v>
      </c>
      <c r="L17" s="27" t="str">
        <f>""</f>
        <v/>
      </c>
      <c r="M17" s="27" t="str">
        <f>""</f>
        <v/>
      </c>
      <c r="N17" s="27" t="str">
        <f>""</f>
        <v/>
      </c>
      <c r="O17" s="28" t="str">
        <f>""</f>
        <v/>
      </c>
      <c r="P17" s="27" t="str">
        <f>"60,00"</f>
        <v>60,00</v>
      </c>
      <c r="Q17" s="27" t="str">
        <f>"2025-2027"</f>
        <v>2025-2027</v>
      </c>
      <c r="R17" s="27" t="str">
        <f>"да"</f>
        <v>да</v>
      </c>
      <c r="S17" s="27" t="str">
        <f>"2009"</f>
        <v>2009</v>
      </c>
      <c r="T17" s="27" t="str">
        <f>"25,00"</f>
        <v>25,00</v>
      </c>
      <c r="U17" s="27" t="str">
        <f>"2025-2027"</f>
        <v>2025-2027</v>
      </c>
      <c r="V17" s="27" t="str">
        <f t="shared" si="1"/>
        <v>нет</v>
      </c>
      <c r="W17" s="27" t="str">
        <f>""</f>
        <v/>
      </c>
      <c r="X17" s="27" t="str">
        <f>""</f>
        <v/>
      </c>
      <c r="Y17" s="29" t="str">
        <f>""</f>
        <v/>
      </c>
      <c r="Z17" s="27" t="str">
        <f t="shared" si="2"/>
        <v>х</v>
      </c>
      <c r="AA17" s="27" t="str">
        <f t="shared" si="2"/>
        <v>х</v>
      </c>
      <c r="AB17" s="27" t="str">
        <f t="shared" si="2"/>
        <v>х</v>
      </c>
      <c r="AC17" s="27" t="str">
        <f t="shared" si="3"/>
        <v>нет</v>
      </c>
      <c r="AD17" s="27" t="str">
        <f t="shared" si="4"/>
        <v>х</v>
      </c>
      <c r="AE17" s="27" t="str">
        <f t="shared" si="4"/>
        <v>х</v>
      </c>
      <c r="AF17" s="27" t="str">
        <f t="shared" si="4"/>
        <v>х</v>
      </c>
      <c r="AG17" s="27" t="str">
        <f t="shared" si="5"/>
        <v>нет</v>
      </c>
      <c r="AH17" s="27" t="str">
        <f t="shared" si="6"/>
        <v>х</v>
      </c>
      <c r="AI17" s="27" t="str">
        <f t="shared" si="6"/>
        <v>х</v>
      </c>
      <c r="AJ17" s="27" t="str">
        <f t="shared" si="6"/>
        <v>х</v>
      </c>
      <c r="AK17" s="28" t="str">
        <f>""</f>
        <v/>
      </c>
      <c r="AL17" s="27" t="str">
        <f>"80,00"</f>
        <v>80,00</v>
      </c>
      <c r="AM17" s="27" t="str">
        <f>"2020-2022"</f>
        <v>2020-2022</v>
      </c>
      <c r="AN17" s="30">
        <v>2015</v>
      </c>
      <c r="AO17" s="27" t="str">
        <f>""</f>
        <v/>
      </c>
      <c r="AP17" s="27" t="str">
        <f>""</f>
        <v/>
      </c>
      <c r="AQ17" s="27">
        <v>2030</v>
      </c>
      <c r="AR17" s="27" t="str">
        <f t="shared" si="8"/>
        <v>нет</v>
      </c>
      <c r="AS17" s="27" t="str">
        <f>""</f>
        <v/>
      </c>
      <c r="AT17" s="27" t="str">
        <f>""</f>
        <v/>
      </c>
      <c r="AU17" s="27" t="str">
        <f>""</f>
        <v/>
      </c>
      <c r="AV17" s="27" t="str">
        <f>"2013"</f>
        <v>2013</v>
      </c>
      <c r="AW17" s="27" t="str">
        <f>"1,00"</f>
        <v>1,00</v>
      </c>
      <c r="AX17" s="27" t="str">
        <f>"2045-2047"</f>
        <v>2045-2047</v>
      </c>
      <c r="AY17" s="27" t="str">
        <f t="shared" si="9"/>
        <v>нет</v>
      </c>
      <c r="AZ17" s="27" t="str">
        <f>""</f>
        <v/>
      </c>
      <c r="BA17" s="27" t="str">
        <f>""</f>
        <v/>
      </c>
      <c r="BB17" s="27" t="str">
        <f>""</f>
        <v/>
      </c>
      <c r="BC17" s="27" t="str">
        <f t="shared" si="10"/>
        <v>нет</v>
      </c>
      <c r="BD17" s="27" t="str">
        <f>""</f>
        <v/>
      </c>
      <c r="BE17" s="27" t="str">
        <f>""</f>
        <v/>
      </c>
      <c r="BF17" s="27" t="str">
        <f>""</f>
        <v/>
      </c>
      <c r="BG17" s="27" t="str">
        <f>""</f>
        <v/>
      </c>
      <c r="BH17" s="27" t="str">
        <f>"60,00"</f>
        <v>60,00</v>
      </c>
      <c r="BI17" s="27" t="str">
        <f>"2024-2026"</f>
        <v>2024-2026</v>
      </c>
      <c r="BJ17" s="27" t="str">
        <f t="shared" si="11"/>
        <v>нет</v>
      </c>
      <c r="BK17" s="27" t="str">
        <f t="shared" si="12"/>
        <v>x</v>
      </c>
      <c r="BL17" s="27" t="str">
        <f>"6,00"</f>
        <v>6,00</v>
      </c>
      <c r="BM17" s="27" t="str">
        <f>"2034-2036"</f>
        <v>2034-2036</v>
      </c>
      <c r="BN17" s="27" t="str">
        <f>""</f>
        <v/>
      </c>
      <c r="BO17" s="27" t="str">
        <f>"40,00"</f>
        <v>40,00</v>
      </c>
      <c r="BP17" s="27" t="str">
        <f>"2032-2034"</f>
        <v>2032-2034</v>
      </c>
      <c r="BQ17" s="27" t="str">
        <f>""</f>
        <v/>
      </c>
      <c r="BR17" s="27" t="str">
        <f>"30,00"</f>
        <v>30,00</v>
      </c>
      <c r="BS17" s="27" t="str">
        <f>"2034-2036"</f>
        <v>2034-2036</v>
      </c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</row>
    <row r="18" spans="1:119" s="10" customFormat="1" ht="11.25" customHeight="1">
      <c r="A18" s="24" t="str">
        <f>"1.5"</f>
        <v>1.5</v>
      </c>
      <c r="B18" s="25" t="str">
        <f>"г. Кириллов, ул. Братства, д.12"</f>
        <v>г. Кириллов, ул. Братства, д.12</v>
      </c>
      <c r="C18" s="26" t="str">
        <f>"1989"</f>
        <v>1989</v>
      </c>
      <c r="D18" s="27" t="str">
        <f>""</f>
        <v/>
      </c>
      <c r="E18" s="27" t="str">
        <f>"80,00"</f>
        <v>80,00</v>
      </c>
      <c r="F18" s="27" t="str">
        <f>"2021-2023"</f>
        <v>2021-2023</v>
      </c>
      <c r="G18" s="27" t="str">
        <f>"да"</f>
        <v>да</v>
      </c>
      <c r="H18" s="27" t="str">
        <f>"2007"</f>
        <v>2007</v>
      </c>
      <c r="I18" s="27" t="str">
        <f>"37,00"</f>
        <v>37,00</v>
      </c>
      <c r="J18" s="27" t="str">
        <f>"2023-2025"</f>
        <v>2023-2025</v>
      </c>
      <c r="K18" s="27" t="str">
        <f t="shared" si="0"/>
        <v>нет</v>
      </c>
      <c r="L18" s="27" t="str">
        <f>""</f>
        <v/>
      </c>
      <c r="M18" s="27" t="str">
        <f>""</f>
        <v/>
      </c>
      <c r="N18" s="27" t="str">
        <f>""</f>
        <v/>
      </c>
      <c r="O18" s="28" t="str">
        <f>""</f>
        <v/>
      </c>
      <c r="P18" s="27" t="str">
        <f>"60,00"</f>
        <v>60,00</v>
      </c>
      <c r="Q18" s="27" t="str">
        <f>"2022-2024"</f>
        <v>2022-2024</v>
      </c>
      <c r="R18" s="27" t="str">
        <f>"да"</f>
        <v>да</v>
      </c>
      <c r="S18" s="27" t="str">
        <f>"2009"</f>
        <v>2009</v>
      </c>
      <c r="T18" s="27" t="str">
        <f>"25,00"</f>
        <v>25,00</v>
      </c>
      <c r="U18" s="27" t="str">
        <f>"2025-2027"</f>
        <v>2025-2027</v>
      </c>
      <c r="V18" s="27" t="str">
        <f t="shared" si="1"/>
        <v>нет</v>
      </c>
      <c r="W18" s="27" t="str">
        <f>""</f>
        <v/>
      </c>
      <c r="X18" s="27" t="str">
        <f>""</f>
        <v/>
      </c>
      <c r="Y18" s="29" t="str">
        <f>""</f>
        <v/>
      </c>
      <c r="Z18" s="27" t="str">
        <f t="shared" si="2"/>
        <v>х</v>
      </c>
      <c r="AA18" s="27" t="str">
        <f t="shared" si="2"/>
        <v>х</v>
      </c>
      <c r="AB18" s="27" t="str">
        <f t="shared" si="2"/>
        <v>х</v>
      </c>
      <c r="AC18" s="27" t="str">
        <f t="shared" si="3"/>
        <v>нет</v>
      </c>
      <c r="AD18" s="27" t="str">
        <f t="shared" si="4"/>
        <v>х</v>
      </c>
      <c r="AE18" s="27" t="str">
        <f t="shared" si="4"/>
        <v>х</v>
      </c>
      <c r="AF18" s="27" t="str">
        <f t="shared" si="4"/>
        <v>х</v>
      </c>
      <c r="AG18" s="27" t="str">
        <f t="shared" si="5"/>
        <v>нет</v>
      </c>
      <c r="AH18" s="27" t="str">
        <f t="shared" si="6"/>
        <v>х</v>
      </c>
      <c r="AI18" s="27" t="str">
        <f t="shared" si="6"/>
        <v>х</v>
      </c>
      <c r="AJ18" s="27" t="str">
        <f t="shared" si="6"/>
        <v>х</v>
      </c>
      <c r="AK18" s="28" t="str">
        <f>""</f>
        <v/>
      </c>
      <c r="AL18" s="27" t="str">
        <f>"80,00"</f>
        <v>80,00</v>
      </c>
      <c r="AM18" s="27" t="str">
        <f>"2016-2018"</f>
        <v>2016-2018</v>
      </c>
      <c r="AN18" s="30">
        <v>2015</v>
      </c>
      <c r="AO18" s="27" t="str">
        <f>""</f>
        <v/>
      </c>
      <c r="AP18" s="27" t="str">
        <f>""</f>
        <v/>
      </c>
      <c r="AQ18" s="27">
        <v>2030</v>
      </c>
      <c r="AR18" s="27" t="str">
        <f t="shared" si="8"/>
        <v>нет</v>
      </c>
      <c r="AS18" s="27" t="str">
        <f>""</f>
        <v/>
      </c>
      <c r="AT18" s="27" t="str">
        <f>""</f>
        <v/>
      </c>
      <c r="AU18" s="27" t="str">
        <f>""</f>
        <v/>
      </c>
      <c r="AV18" s="27" t="str">
        <f>""</f>
        <v/>
      </c>
      <c r="AW18" s="27" t="str">
        <f>"80,00"</f>
        <v>80,00</v>
      </c>
      <c r="AX18" s="27" t="str">
        <f>"2025-2027"</f>
        <v>2025-2027</v>
      </c>
      <c r="AY18" s="27" t="str">
        <f t="shared" si="9"/>
        <v>нет</v>
      </c>
      <c r="AZ18" s="27" t="str">
        <f>""</f>
        <v/>
      </c>
      <c r="BA18" s="27" t="str">
        <f>""</f>
        <v/>
      </c>
      <c r="BB18" s="27" t="str">
        <f>""</f>
        <v/>
      </c>
      <c r="BC18" s="27" t="str">
        <f t="shared" si="10"/>
        <v>нет</v>
      </c>
      <c r="BD18" s="27" t="str">
        <f>""</f>
        <v/>
      </c>
      <c r="BE18" s="27" t="str">
        <f>""</f>
        <v/>
      </c>
      <c r="BF18" s="27" t="str">
        <f>""</f>
        <v/>
      </c>
      <c r="BG18" s="27" t="str">
        <f>""</f>
        <v/>
      </c>
      <c r="BH18" s="27" t="str">
        <f>"60,00"</f>
        <v>60,00</v>
      </c>
      <c r="BI18" s="27" t="str">
        <f>"2027-2029"</f>
        <v>2027-2029</v>
      </c>
      <c r="BJ18" s="27" t="str">
        <f t="shared" si="11"/>
        <v>нет</v>
      </c>
      <c r="BK18" s="27" t="str">
        <f t="shared" si="12"/>
        <v>x</v>
      </c>
      <c r="BL18" s="27" t="str">
        <f>"48,00"</f>
        <v>48,00</v>
      </c>
      <c r="BM18" s="27" t="str">
        <f>"2030-2032"</f>
        <v>2030-2032</v>
      </c>
      <c r="BN18" s="27" t="str">
        <f>""</f>
        <v/>
      </c>
      <c r="BO18" s="27" t="str">
        <f>"60,00"</f>
        <v>60,00</v>
      </c>
      <c r="BP18" s="27" t="str">
        <f>"2029-2031"</f>
        <v>2029-2031</v>
      </c>
      <c r="BQ18" s="27" t="str">
        <f>""</f>
        <v/>
      </c>
      <c r="BR18" s="27" t="str">
        <f>"48,00"</f>
        <v>48,00</v>
      </c>
      <c r="BS18" s="27" t="str">
        <f>"2030-2032"</f>
        <v>2030-2032</v>
      </c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</row>
    <row r="19" spans="1:119" s="10" customFormat="1" ht="11.25" customHeight="1">
      <c r="A19" s="24" t="str">
        <f>"1.6"</f>
        <v>1.6</v>
      </c>
      <c r="B19" s="25" t="str">
        <f>"г. Кириллов, ул. Братства, д.14"</f>
        <v>г. Кириллов, ул. Братства, д.14</v>
      </c>
      <c r="C19" s="26" t="str">
        <f>"1993"</f>
        <v>1993</v>
      </c>
      <c r="D19" s="27" t="str">
        <f>""</f>
        <v/>
      </c>
      <c r="E19" s="27" t="str">
        <f>"66,00"</f>
        <v>66,00</v>
      </c>
      <c r="F19" s="27" t="str">
        <f>"2029-2031"</f>
        <v>2029-2031</v>
      </c>
      <c r="G19" s="27" t="str">
        <f>"да"</f>
        <v>да</v>
      </c>
      <c r="H19" s="27" t="str">
        <f>"2010"</f>
        <v>2010</v>
      </c>
      <c r="I19" s="27" t="str">
        <f>"19,00"</f>
        <v>19,00</v>
      </c>
      <c r="J19" s="27" t="str">
        <f>"2026-2028"</f>
        <v>2026-2028</v>
      </c>
      <c r="K19" s="27" t="str">
        <f t="shared" si="0"/>
        <v>нет</v>
      </c>
      <c r="L19" s="27" t="str">
        <f>""</f>
        <v/>
      </c>
      <c r="M19" s="27" t="str">
        <f>""</f>
        <v/>
      </c>
      <c r="N19" s="27" t="str">
        <f>""</f>
        <v/>
      </c>
      <c r="O19" s="28" t="str">
        <f>""</f>
        <v/>
      </c>
      <c r="P19" s="27" t="str">
        <f>"50,00"</f>
        <v>50,00</v>
      </c>
      <c r="Q19" s="27" t="str">
        <f>"2021-2023"</f>
        <v>2021-2023</v>
      </c>
      <c r="R19" s="27" t="str">
        <f t="shared" ref="R19:R30" si="14">"нет"</f>
        <v>нет</v>
      </c>
      <c r="S19" s="27" t="str">
        <f>""</f>
        <v/>
      </c>
      <c r="T19" s="27" t="str">
        <f>""</f>
        <v/>
      </c>
      <c r="U19" s="27" t="str">
        <f>""</f>
        <v/>
      </c>
      <c r="V19" s="27" t="str">
        <f t="shared" si="1"/>
        <v>нет</v>
      </c>
      <c r="W19" s="27" t="str">
        <f>""</f>
        <v/>
      </c>
      <c r="X19" s="27" t="str">
        <f>""</f>
        <v/>
      </c>
      <c r="Y19" s="29" t="str">
        <f>""</f>
        <v/>
      </c>
      <c r="Z19" s="27" t="str">
        <f t="shared" si="2"/>
        <v>х</v>
      </c>
      <c r="AA19" s="27" t="str">
        <f t="shared" si="2"/>
        <v>х</v>
      </c>
      <c r="AB19" s="27" t="str">
        <f t="shared" si="2"/>
        <v>х</v>
      </c>
      <c r="AC19" s="27" t="str">
        <f t="shared" si="3"/>
        <v>нет</v>
      </c>
      <c r="AD19" s="27" t="str">
        <f t="shared" si="4"/>
        <v>х</v>
      </c>
      <c r="AE19" s="27" t="str">
        <f t="shared" si="4"/>
        <v>х</v>
      </c>
      <c r="AF19" s="27" t="str">
        <f t="shared" si="4"/>
        <v>х</v>
      </c>
      <c r="AG19" s="27" t="str">
        <f t="shared" si="5"/>
        <v>нет</v>
      </c>
      <c r="AH19" s="27" t="str">
        <f t="shared" si="6"/>
        <v>х</v>
      </c>
      <c r="AI19" s="27" t="str">
        <f t="shared" si="6"/>
        <v>х</v>
      </c>
      <c r="AJ19" s="27" t="str">
        <f t="shared" si="6"/>
        <v>х</v>
      </c>
      <c r="AK19" s="28" t="str">
        <f>""</f>
        <v/>
      </c>
      <c r="AL19" s="27" t="str">
        <f>"80,00"</f>
        <v>80,00</v>
      </c>
      <c r="AM19" s="27" t="str">
        <f>"2030-2032"</f>
        <v>2030-2032</v>
      </c>
      <c r="AN19" s="30">
        <v>2015</v>
      </c>
      <c r="AO19" s="27" t="str">
        <f>""</f>
        <v/>
      </c>
      <c r="AP19" s="27" t="str">
        <f>""</f>
        <v/>
      </c>
      <c r="AQ19" s="27">
        <v>2030</v>
      </c>
      <c r="AR19" s="27" t="str">
        <f t="shared" si="8"/>
        <v>нет</v>
      </c>
      <c r="AS19" s="27" t="str">
        <f>""</f>
        <v/>
      </c>
      <c r="AT19" s="27" t="str">
        <f>""</f>
        <v/>
      </c>
      <c r="AU19" s="27" t="str">
        <f>""</f>
        <v/>
      </c>
      <c r="AV19" s="27" t="str">
        <f>""</f>
        <v/>
      </c>
      <c r="AW19" s="27" t="str">
        <f>"66,00"</f>
        <v>66,00</v>
      </c>
      <c r="AX19" s="27" t="str">
        <f>"2033-2035"</f>
        <v>2033-2035</v>
      </c>
      <c r="AY19" s="27" t="str">
        <f t="shared" si="9"/>
        <v>нет</v>
      </c>
      <c r="AZ19" s="27" t="str">
        <f>""</f>
        <v/>
      </c>
      <c r="BA19" s="27" t="str">
        <f>""</f>
        <v/>
      </c>
      <c r="BB19" s="27" t="str">
        <f>""</f>
        <v/>
      </c>
      <c r="BC19" s="27" t="str">
        <f t="shared" si="10"/>
        <v>нет</v>
      </c>
      <c r="BD19" s="27" t="str">
        <f>""</f>
        <v/>
      </c>
      <c r="BE19" s="27" t="str">
        <f>""</f>
        <v/>
      </c>
      <c r="BF19" s="27" t="str">
        <f>""</f>
        <v/>
      </c>
      <c r="BG19" s="27" t="str">
        <f>""</f>
        <v/>
      </c>
      <c r="BH19" s="27" t="str">
        <f>"50,00"</f>
        <v>50,00</v>
      </c>
      <c r="BI19" s="27" t="str">
        <f>"2035-2037"</f>
        <v>2035-2037</v>
      </c>
      <c r="BJ19" s="27" t="str">
        <f t="shared" si="11"/>
        <v>нет</v>
      </c>
      <c r="BK19" s="27" t="str">
        <f t="shared" si="12"/>
        <v>x</v>
      </c>
      <c r="BL19" s="27" t="str">
        <f>"50,00"</f>
        <v>50,00</v>
      </c>
      <c r="BM19" s="27" t="str">
        <f>"2036-2038"</f>
        <v>2036-2038</v>
      </c>
      <c r="BN19" s="27" t="str">
        <f>""</f>
        <v/>
      </c>
      <c r="BO19" s="27" t="str">
        <f>"50,00"</f>
        <v>50,00</v>
      </c>
      <c r="BP19" s="27" t="str">
        <f>"2035-2037"</f>
        <v>2035-2037</v>
      </c>
      <c r="BQ19" s="27" t="str">
        <f>""</f>
        <v/>
      </c>
      <c r="BR19" s="27" t="str">
        <f>"40,00"</f>
        <v>40,00</v>
      </c>
      <c r="BS19" s="27" t="str">
        <f>"2036-2038"</f>
        <v>2036-2038</v>
      </c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</row>
    <row r="20" spans="1:119" s="10" customFormat="1" ht="11.25" customHeight="1">
      <c r="A20" s="24" t="str">
        <f>"1.7"</f>
        <v>1.7</v>
      </c>
      <c r="B20" s="25" t="str">
        <f>"г. Кириллов, ул. Володарского, д.19"</f>
        <v>г. Кириллов, ул. Володарского, д.19</v>
      </c>
      <c r="C20" s="26" t="str">
        <f>"1985"</f>
        <v>1985</v>
      </c>
      <c r="D20" s="27" t="str">
        <f>""</f>
        <v/>
      </c>
      <c r="E20" s="27" t="str">
        <f>"90,00"</f>
        <v>90,00</v>
      </c>
      <c r="F20" s="27" t="str">
        <f>"2025-2027"</f>
        <v>2025-2027</v>
      </c>
      <c r="G20" s="27" t="str">
        <f>"да"</f>
        <v>да</v>
      </c>
      <c r="H20" s="27" t="str">
        <f>"2010"</f>
        <v>2010</v>
      </c>
      <c r="I20" s="27" t="str">
        <f>"19,00"</f>
        <v>19,00</v>
      </c>
      <c r="J20" s="27" t="str">
        <f>"2026-2028"</f>
        <v>2026-2028</v>
      </c>
      <c r="K20" s="27" t="str">
        <f t="shared" si="0"/>
        <v>нет</v>
      </c>
      <c r="L20" s="27" t="str">
        <f>""</f>
        <v/>
      </c>
      <c r="M20" s="27" t="str">
        <f>""</f>
        <v/>
      </c>
      <c r="N20" s="27" t="str">
        <f>""</f>
        <v/>
      </c>
      <c r="O20" s="28" t="str">
        <f>""</f>
        <v/>
      </c>
      <c r="P20" s="27" t="str">
        <f>""</f>
        <v/>
      </c>
      <c r="Q20" s="27" t="str">
        <f>""</f>
        <v/>
      </c>
      <c r="R20" s="27" t="str">
        <f t="shared" si="14"/>
        <v>нет</v>
      </c>
      <c r="S20" s="27" t="str">
        <f>""</f>
        <v/>
      </c>
      <c r="T20" s="27" t="str">
        <f>""</f>
        <v/>
      </c>
      <c r="U20" s="27" t="str">
        <f>""</f>
        <v/>
      </c>
      <c r="V20" s="27" t="str">
        <f t="shared" si="1"/>
        <v>нет</v>
      </c>
      <c r="W20" s="27" t="str">
        <f>""</f>
        <v/>
      </c>
      <c r="X20" s="27" t="str">
        <f>""</f>
        <v/>
      </c>
      <c r="Y20" s="29" t="str">
        <f>""</f>
        <v/>
      </c>
      <c r="Z20" s="27" t="str">
        <f t="shared" si="2"/>
        <v>х</v>
      </c>
      <c r="AA20" s="27" t="str">
        <f t="shared" si="2"/>
        <v>х</v>
      </c>
      <c r="AB20" s="27" t="str">
        <f t="shared" si="2"/>
        <v>х</v>
      </c>
      <c r="AC20" s="27" t="str">
        <f t="shared" si="3"/>
        <v>нет</v>
      </c>
      <c r="AD20" s="27" t="str">
        <f t="shared" si="4"/>
        <v>х</v>
      </c>
      <c r="AE20" s="27" t="str">
        <f t="shared" si="4"/>
        <v>х</v>
      </c>
      <c r="AF20" s="27" t="str">
        <f t="shared" si="4"/>
        <v>х</v>
      </c>
      <c r="AG20" s="27" t="str">
        <f t="shared" si="5"/>
        <v>нет</v>
      </c>
      <c r="AH20" s="27" t="str">
        <f t="shared" si="6"/>
        <v>х</v>
      </c>
      <c r="AI20" s="27" t="str">
        <f t="shared" si="6"/>
        <v>х</v>
      </c>
      <c r="AJ20" s="27" t="str">
        <f t="shared" si="6"/>
        <v>х</v>
      </c>
      <c r="AK20" s="28" t="str">
        <f>"х"</f>
        <v>х</v>
      </c>
      <c r="AL20" s="27" t="str">
        <f>"х"</f>
        <v>х</v>
      </c>
      <c r="AM20" s="27" t="str">
        <f>"х"</f>
        <v>х</v>
      </c>
      <c r="AN20" s="30" t="str">
        <f t="shared" si="7"/>
        <v>нет</v>
      </c>
      <c r="AO20" s="27" t="str">
        <f>"х"</f>
        <v>х</v>
      </c>
      <c r="AP20" s="27" t="str">
        <f>"х"</f>
        <v>х</v>
      </c>
      <c r="AQ20" s="27" t="str">
        <f>"х"</f>
        <v>х</v>
      </c>
      <c r="AR20" s="27" t="str">
        <f t="shared" si="8"/>
        <v>нет</v>
      </c>
      <c r="AS20" s="27" t="str">
        <f t="shared" ref="AS20:AX20" si="15">"х"</f>
        <v>х</v>
      </c>
      <c r="AT20" s="27" t="str">
        <f t="shared" si="15"/>
        <v>х</v>
      </c>
      <c r="AU20" s="27" t="str">
        <f t="shared" si="15"/>
        <v>х</v>
      </c>
      <c r="AV20" s="27" t="str">
        <f t="shared" si="15"/>
        <v>х</v>
      </c>
      <c r="AW20" s="27" t="str">
        <f t="shared" si="15"/>
        <v>х</v>
      </c>
      <c r="AX20" s="27" t="str">
        <f t="shared" si="15"/>
        <v>х</v>
      </c>
      <c r="AY20" s="27" t="str">
        <f t="shared" si="9"/>
        <v>нет</v>
      </c>
      <c r="AZ20" s="27" t="str">
        <f>"х"</f>
        <v>х</v>
      </c>
      <c r="BA20" s="27" t="str">
        <f>"х"</f>
        <v>х</v>
      </c>
      <c r="BB20" s="27" t="str">
        <f>"х"</f>
        <v>х</v>
      </c>
      <c r="BC20" s="27" t="str">
        <f t="shared" si="10"/>
        <v>нет</v>
      </c>
      <c r="BD20" s="27" t="str">
        <f>"х"</f>
        <v>х</v>
      </c>
      <c r="BE20" s="27" t="str">
        <f>"х"</f>
        <v>х</v>
      </c>
      <c r="BF20" s="27" t="str">
        <f>"х"</f>
        <v>х</v>
      </c>
      <c r="BG20" s="27" t="str">
        <f>""</f>
        <v/>
      </c>
      <c r="BH20" s="27" t="str">
        <f>"60,00"</f>
        <v>60,00</v>
      </c>
      <c r="BI20" s="27" t="str">
        <f>"2016-2018"</f>
        <v>2016-2018</v>
      </c>
      <c r="BJ20" s="27" t="str">
        <f t="shared" si="11"/>
        <v>нет</v>
      </c>
      <c r="BK20" s="27" t="str">
        <f t="shared" si="12"/>
        <v>x</v>
      </c>
      <c r="BL20" s="27" t="str">
        <f>"x"</f>
        <v>x</v>
      </c>
      <c r="BM20" s="27" t="str">
        <f>"2027-2029"</f>
        <v>2027-2029</v>
      </c>
      <c r="BN20" s="27" t="str">
        <f>""</f>
        <v/>
      </c>
      <c r="BO20" s="27" t="str">
        <f>"60,00"</f>
        <v>60,00</v>
      </c>
      <c r="BP20" s="27" t="str">
        <f>"2021-2023"</f>
        <v>2021-2023</v>
      </c>
      <c r="BQ20" s="27" t="str">
        <f>""</f>
        <v/>
      </c>
      <c r="BR20" s="27" t="str">
        <f>"56,00"</f>
        <v>56,00</v>
      </c>
      <c r="BS20" s="27" t="str">
        <f>"2027-2029"</f>
        <v>2027-2029</v>
      </c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</row>
    <row r="21" spans="1:119" s="9" customFormat="1" ht="11.25" customHeight="1">
      <c r="A21" s="24" t="str">
        <f>"1.8"</f>
        <v>1.8</v>
      </c>
      <c r="B21" s="25" t="str">
        <f>"г. Кириллов, ул. Володарского, д.21"</f>
        <v>г. Кириллов, ул. Володарского, д.21</v>
      </c>
      <c r="C21" s="26" t="str">
        <f>"1987"</f>
        <v>1987</v>
      </c>
      <c r="D21" s="27" t="str">
        <f>""</f>
        <v/>
      </c>
      <c r="E21" s="27" t="str">
        <f>"50,00"</f>
        <v>50,00</v>
      </c>
      <c r="F21" s="27" t="str">
        <f>"2025-2027"</f>
        <v>2025-2027</v>
      </c>
      <c r="G21" s="27" t="str">
        <f>"нет"</f>
        <v>нет</v>
      </c>
      <c r="H21" s="27" t="str">
        <f>""</f>
        <v/>
      </c>
      <c r="I21" s="27" t="str">
        <f>""</f>
        <v/>
      </c>
      <c r="J21" s="27" t="str">
        <f>""</f>
        <v/>
      </c>
      <c r="K21" s="27" t="str">
        <f t="shared" si="0"/>
        <v>нет</v>
      </c>
      <c r="L21" s="27" t="str">
        <f>""</f>
        <v/>
      </c>
      <c r="M21" s="27" t="str">
        <f>""</f>
        <v/>
      </c>
      <c r="N21" s="27" t="str">
        <f>""</f>
        <v/>
      </c>
      <c r="O21" s="28" t="str">
        <f>""</f>
        <v/>
      </c>
      <c r="P21" s="27" t="str">
        <f>""</f>
        <v/>
      </c>
      <c r="Q21" s="27" t="str">
        <f>""</f>
        <v/>
      </c>
      <c r="R21" s="27" t="str">
        <f t="shared" si="14"/>
        <v>нет</v>
      </c>
      <c r="S21" s="27" t="str">
        <f>""</f>
        <v/>
      </c>
      <c r="T21" s="27" t="str">
        <f>""</f>
        <v/>
      </c>
      <c r="U21" s="27" t="str">
        <f>""</f>
        <v/>
      </c>
      <c r="V21" s="27" t="str">
        <f t="shared" si="1"/>
        <v>нет</v>
      </c>
      <c r="W21" s="27" t="str">
        <f>""</f>
        <v/>
      </c>
      <c r="X21" s="27" t="str">
        <f>""</f>
        <v/>
      </c>
      <c r="Y21" s="29" t="str">
        <f>""</f>
        <v/>
      </c>
      <c r="Z21" s="27" t="str">
        <f t="shared" si="2"/>
        <v>х</v>
      </c>
      <c r="AA21" s="27" t="str">
        <f t="shared" si="2"/>
        <v>х</v>
      </c>
      <c r="AB21" s="27" t="str">
        <f t="shared" si="2"/>
        <v>х</v>
      </c>
      <c r="AC21" s="27" t="str">
        <f t="shared" si="3"/>
        <v>нет</v>
      </c>
      <c r="AD21" s="27" t="str">
        <f t="shared" si="4"/>
        <v>х</v>
      </c>
      <c r="AE21" s="27" t="str">
        <f t="shared" si="4"/>
        <v>х</v>
      </c>
      <c r="AF21" s="27" t="str">
        <f t="shared" si="4"/>
        <v>х</v>
      </c>
      <c r="AG21" s="27" t="str">
        <f t="shared" si="5"/>
        <v>нет</v>
      </c>
      <c r="AH21" s="27" t="str">
        <f t="shared" si="6"/>
        <v>х</v>
      </c>
      <c r="AI21" s="27" t="str">
        <f t="shared" si="6"/>
        <v>х</v>
      </c>
      <c r="AJ21" s="27" t="str">
        <f t="shared" si="6"/>
        <v>х</v>
      </c>
      <c r="AK21" s="28" t="str">
        <f>""</f>
        <v/>
      </c>
      <c r="AL21" s="27" t="str">
        <f>"80,00"</f>
        <v>80,00</v>
      </c>
      <c r="AM21" s="27" t="str">
        <f>"2025-2027"</f>
        <v>2025-2027</v>
      </c>
      <c r="AN21" s="30" t="str">
        <f t="shared" si="7"/>
        <v>нет</v>
      </c>
      <c r="AO21" s="27" t="str">
        <f>""</f>
        <v/>
      </c>
      <c r="AP21" s="27" t="str">
        <f>""</f>
        <v/>
      </c>
      <c r="AQ21" s="27" t="str">
        <f>""</f>
        <v/>
      </c>
      <c r="AR21" s="27" t="str">
        <f t="shared" si="8"/>
        <v>нет</v>
      </c>
      <c r="AS21" s="27" t="str">
        <f>""</f>
        <v/>
      </c>
      <c r="AT21" s="27" t="str">
        <f>""</f>
        <v/>
      </c>
      <c r="AU21" s="27" t="str">
        <f>""</f>
        <v/>
      </c>
      <c r="AV21" s="27" t="str">
        <f>""</f>
        <v/>
      </c>
      <c r="AW21" s="27" t="str">
        <f>""</f>
        <v/>
      </c>
      <c r="AX21" s="27" t="str">
        <f>""</f>
        <v/>
      </c>
      <c r="AY21" s="27" t="str">
        <f t="shared" si="9"/>
        <v>нет</v>
      </c>
      <c r="AZ21" s="27" t="str">
        <f>""</f>
        <v/>
      </c>
      <c r="BA21" s="27" t="str">
        <f>""</f>
        <v/>
      </c>
      <c r="BB21" s="27" t="str">
        <f>""</f>
        <v/>
      </c>
      <c r="BC21" s="27" t="str">
        <f t="shared" si="10"/>
        <v>нет</v>
      </c>
      <c r="BD21" s="27" t="str">
        <f>""</f>
        <v/>
      </c>
      <c r="BE21" s="27" t="str">
        <f>""</f>
        <v/>
      </c>
      <c r="BF21" s="27" t="str">
        <f>""</f>
        <v/>
      </c>
      <c r="BG21" s="27" t="str">
        <f>""</f>
        <v/>
      </c>
      <c r="BH21" s="27" t="str">
        <f>"50,00"</f>
        <v>50,00</v>
      </c>
      <c r="BI21" s="27" t="str">
        <f>"2029-2031"</f>
        <v>2029-2031</v>
      </c>
      <c r="BJ21" s="27" t="str">
        <f t="shared" si="11"/>
        <v>нет</v>
      </c>
      <c r="BK21" s="27" t="str">
        <f t="shared" si="12"/>
        <v>x</v>
      </c>
      <c r="BL21" s="27" t="str">
        <f>"x"</f>
        <v>x</v>
      </c>
      <c r="BM21" s="27" t="str">
        <f>"2018-2020"</f>
        <v>2018-2020</v>
      </c>
      <c r="BN21" s="27" t="str">
        <f>""</f>
        <v/>
      </c>
      <c r="BO21" s="27" t="str">
        <f>"50,00"</f>
        <v>50,00</v>
      </c>
      <c r="BP21" s="27" t="str">
        <f>"2022-2024"</f>
        <v>2022-2024</v>
      </c>
      <c r="BQ21" s="27" t="str">
        <f>""</f>
        <v/>
      </c>
      <c r="BR21" s="27" t="str">
        <f>"50,00"</f>
        <v>50,00</v>
      </c>
      <c r="BS21" s="27" t="str">
        <f>"2018-2020"</f>
        <v>2018-2020</v>
      </c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</row>
    <row r="22" spans="1:119" s="9" customFormat="1" ht="11.25" customHeight="1">
      <c r="A22" s="24" t="str">
        <f>"1.9"</f>
        <v>1.9</v>
      </c>
      <c r="B22" s="25" t="str">
        <f>"г. Кириллов, ул. Володарского, д.21А"</f>
        <v>г. Кириллов, ул. Володарского, д.21А</v>
      </c>
      <c r="C22" s="26" t="str">
        <f>"1998"</f>
        <v>1998</v>
      </c>
      <c r="D22" s="27" t="str">
        <f>""</f>
        <v/>
      </c>
      <c r="E22" s="27" t="str">
        <f>"50,00"</f>
        <v>50,00</v>
      </c>
      <c r="F22" s="27" t="str">
        <f>"2033-2035"</f>
        <v>2033-2035</v>
      </c>
      <c r="G22" s="27" t="str">
        <f>"нет"</f>
        <v>нет</v>
      </c>
      <c r="H22" s="27" t="str">
        <f>""</f>
        <v/>
      </c>
      <c r="I22" s="27" t="str">
        <f>""</f>
        <v/>
      </c>
      <c r="J22" s="27" t="str">
        <f>""</f>
        <v/>
      </c>
      <c r="K22" s="27" t="str">
        <f t="shared" si="0"/>
        <v>нет</v>
      </c>
      <c r="L22" s="27" t="str">
        <f>""</f>
        <v/>
      </c>
      <c r="M22" s="27" t="str">
        <f>""</f>
        <v/>
      </c>
      <c r="N22" s="27" t="str">
        <f>""</f>
        <v/>
      </c>
      <c r="O22" s="28" t="str">
        <f>""</f>
        <v/>
      </c>
      <c r="P22" s="27" t="str">
        <f>""</f>
        <v/>
      </c>
      <c r="Q22" s="27" t="str">
        <f>""</f>
        <v/>
      </c>
      <c r="R22" s="27" t="str">
        <f t="shared" si="14"/>
        <v>нет</v>
      </c>
      <c r="S22" s="27" t="str">
        <f>""</f>
        <v/>
      </c>
      <c r="T22" s="27" t="str">
        <f>""</f>
        <v/>
      </c>
      <c r="U22" s="27" t="str">
        <f>""</f>
        <v/>
      </c>
      <c r="V22" s="27" t="str">
        <f t="shared" si="1"/>
        <v>нет</v>
      </c>
      <c r="W22" s="27" t="str">
        <f>""</f>
        <v/>
      </c>
      <c r="X22" s="27" t="str">
        <f>""</f>
        <v/>
      </c>
      <c r="Y22" s="29" t="str">
        <f>""</f>
        <v/>
      </c>
      <c r="Z22" s="27" t="str">
        <f t="shared" si="2"/>
        <v>х</v>
      </c>
      <c r="AA22" s="27" t="str">
        <f t="shared" si="2"/>
        <v>х</v>
      </c>
      <c r="AB22" s="27" t="str">
        <f t="shared" si="2"/>
        <v>х</v>
      </c>
      <c r="AC22" s="27" t="str">
        <f t="shared" si="3"/>
        <v>нет</v>
      </c>
      <c r="AD22" s="27" t="str">
        <f t="shared" si="4"/>
        <v>х</v>
      </c>
      <c r="AE22" s="27" t="str">
        <f t="shared" si="4"/>
        <v>х</v>
      </c>
      <c r="AF22" s="27" t="str">
        <f t="shared" si="4"/>
        <v>х</v>
      </c>
      <c r="AG22" s="27" t="str">
        <f t="shared" si="5"/>
        <v>нет</v>
      </c>
      <c r="AH22" s="27" t="str">
        <f t="shared" si="6"/>
        <v>х</v>
      </c>
      <c r="AI22" s="27" t="str">
        <f t="shared" si="6"/>
        <v>х</v>
      </c>
      <c r="AJ22" s="27" t="str">
        <f t="shared" si="6"/>
        <v>х</v>
      </c>
      <c r="AK22" s="28" t="str">
        <f t="shared" ref="AK22:AM24" si="16">"х"</f>
        <v>х</v>
      </c>
      <c r="AL22" s="27" t="str">
        <f t="shared" si="16"/>
        <v>х</v>
      </c>
      <c r="AM22" s="27" t="str">
        <f t="shared" si="16"/>
        <v>х</v>
      </c>
      <c r="AN22" s="30" t="str">
        <f t="shared" si="7"/>
        <v>нет</v>
      </c>
      <c r="AO22" s="27" t="str">
        <f t="shared" ref="AO22:AQ24" si="17">"х"</f>
        <v>х</v>
      </c>
      <c r="AP22" s="27" t="str">
        <f t="shared" si="17"/>
        <v>х</v>
      </c>
      <c r="AQ22" s="27" t="str">
        <f t="shared" si="17"/>
        <v>х</v>
      </c>
      <c r="AR22" s="27" t="str">
        <f t="shared" si="8"/>
        <v>нет</v>
      </c>
      <c r="AS22" s="27" t="str">
        <f t="shared" ref="AS22:AU24" si="18">"х"</f>
        <v>х</v>
      </c>
      <c r="AT22" s="27" t="str">
        <f t="shared" si="18"/>
        <v>х</v>
      </c>
      <c r="AU22" s="27" t="str">
        <f t="shared" si="18"/>
        <v>х</v>
      </c>
      <c r="AV22" s="27" t="str">
        <f t="shared" ref="AV22:AX24" si="19">"х"</f>
        <v>х</v>
      </c>
      <c r="AW22" s="27" t="str">
        <f t="shared" si="19"/>
        <v>х</v>
      </c>
      <c r="AX22" s="27" t="str">
        <f t="shared" si="19"/>
        <v>х</v>
      </c>
      <c r="AY22" s="27" t="str">
        <f t="shared" si="9"/>
        <v>нет</v>
      </c>
      <c r="AZ22" s="27" t="str">
        <f t="shared" ref="AZ22:BB24" si="20">"х"</f>
        <v>х</v>
      </c>
      <c r="BA22" s="27" t="str">
        <f t="shared" si="20"/>
        <v>х</v>
      </c>
      <c r="BB22" s="27" t="str">
        <f t="shared" si="20"/>
        <v>х</v>
      </c>
      <c r="BC22" s="27" t="str">
        <f t="shared" si="10"/>
        <v>нет</v>
      </c>
      <c r="BD22" s="27" t="str">
        <f t="shared" ref="BD22:BF24" si="21">"х"</f>
        <v>х</v>
      </c>
      <c r="BE22" s="27" t="str">
        <f t="shared" si="21"/>
        <v>х</v>
      </c>
      <c r="BF22" s="27" t="str">
        <f t="shared" si="21"/>
        <v>х</v>
      </c>
      <c r="BG22" s="27" t="str">
        <f>""</f>
        <v/>
      </c>
      <c r="BH22" s="27" t="str">
        <f>"50,00"</f>
        <v>50,00</v>
      </c>
      <c r="BI22" s="27" t="str">
        <f>"2028-2030"</f>
        <v>2028-2030</v>
      </c>
      <c r="BJ22" s="27" t="str">
        <f t="shared" si="11"/>
        <v>нет</v>
      </c>
      <c r="BK22" s="27" t="str">
        <f t="shared" si="12"/>
        <v>x</v>
      </c>
      <c r="BL22" s="27" t="str">
        <f>"50,00"</f>
        <v>50,00</v>
      </c>
      <c r="BM22" s="27" t="str">
        <f>"2021-2023"</f>
        <v>2021-2023</v>
      </c>
      <c r="BN22" s="27" t="str">
        <f>""</f>
        <v/>
      </c>
      <c r="BO22" s="27" t="str">
        <f>"50,00"</f>
        <v>50,00</v>
      </c>
      <c r="BP22" s="27" t="str">
        <f>"2023-2025"</f>
        <v>2023-2025</v>
      </c>
      <c r="BQ22" s="27" t="str">
        <f>""</f>
        <v/>
      </c>
      <c r="BR22" s="27" t="str">
        <f>"50,00"</f>
        <v>50,00</v>
      </c>
      <c r="BS22" s="27" t="str">
        <f>"2021-2023"</f>
        <v>2021-2023</v>
      </c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</row>
    <row r="23" spans="1:119" s="10" customFormat="1" ht="11.25" customHeight="1">
      <c r="A23" s="24" t="str">
        <f>"1.10"</f>
        <v>1.10</v>
      </c>
      <c r="B23" s="25" t="str">
        <f>"г. Кириллов, ул. Володарского, д.23"</f>
        <v>г. Кириллов, ул. Володарского, д.23</v>
      </c>
      <c r="C23" s="26" t="str">
        <f>"1987"</f>
        <v>1987</v>
      </c>
      <c r="D23" s="27" t="str">
        <f>""</f>
        <v/>
      </c>
      <c r="E23" s="27" t="str">
        <f>"80,00"</f>
        <v>80,00</v>
      </c>
      <c r="F23" s="27" t="str">
        <f>"2027-2029"</f>
        <v>2027-2029</v>
      </c>
      <c r="G23" s="27" t="str">
        <f>"нет"</f>
        <v>нет</v>
      </c>
      <c r="H23" s="27" t="str">
        <f>""</f>
        <v/>
      </c>
      <c r="I23" s="27" t="str">
        <f>""</f>
        <v/>
      </c>
      <c r="J23" s="27" t="str">
        <f>""</f>
        <v/>
      </c>
      <c r="K23" s="27" t="str">
        <f t="shared" si="0"/>
        <v>нет</v>
      </c>
      <c r="L23" s="27" t="str">
        <f>""</f>
        <v/>
      </c>
      <c r="M23" s="27" t="str">
        <f>""</f>
        <v/>
      </c>
      <c r="N23" s="27" t="str">
        <f>""</f>
        <v/>
      </c>
      <c r="O23" s="28" t="str">
        <f>""</f>
        <v/>
      </c>
      <c r="P23" s="27" t="str">
        <f>""</f>
        <v/>
      </c>
      <c r="Q23" s="27" t="str">
        <f>""</f>
        <v/>
      </c>
      <c r="R23" s="27" t="str">
        <f t="shared" si="14"/>
        <v>нет</v>
      </c>
      <c r="S23" s="27" t="str">
        <f>""</f>
        <v/>
      </c>
      <c r="T23" s="27" t="str">
        <f>""</f>
        <v/>
      </c>
      <c r="U23" s="27" t="str">
        <f>""</f>
        <v/>
      </c>
      <c r="V23" s="27" t="str">
        <f t="shared" si="1"/>
        <v>нет</v>
      </c>
      <c r="W23" s="27" t="str">
        <f>""</f>
        <v/>
      </c>
      <c r="X23" s="27" t="str">
        <f>""</f>
        <v/>
      </c>
      <c r="Y23" s="29" t="str">
        <f>""</f>
        <v/>
      </c>
      <c r="Z23" s="27" t="str">
        <f t="shared" si="2"/>
        <v>х</v>
      </c>
      <c r="AA23" s="27" t="str">
        <f t="shared" si="2"/>
        <v>х</v>
      </c>
      <c r="AB23" s="27" t="str">
        <f t="shared" si="2"/>
        <v>х</v>
      </c>
      <c r="AC23" s="27" t="str">
        <f t="shared" si="3"/>
        <v>нет</v>
      </c>
      <c r="AD23" s="27" t="str">
        <f t="shared" si="4"/>
        <v>х</v>
      </c>
      <c r="AE23" s="27" t="str">
        <f t="shared" si="4"/>
        <v>х</v>
      </c>
      <c r="AF23" s="27" t="str">
        <f t="shared" si="4"/>
        <v>х</v>
      </c>
      <c r="AG23" s="27" t="str">
        <f t="shared" si="5"/>
        <v>нет</v>
      </c>
      <c r="AH23" s="27" t="str">
        <f t="shared" si="6"/>
        <v>х</v>
      </c>
      <c r="AI23" s="27" t="str">
        <f t="shared" si="6"/>
        <v>х</v>
      </c>
      <c r="AJ23" s="27" t="str">
        <f t="shared" si="6"/>
        <v>х</v>
      </c>
      <c r="AK23" s="28" t="str">
        <f t="shared" si="16"/>
        <v>х</v>
      </c>
      <c r="AL23" s="27" t="str">
        <f t="shared" si="16"/>
        <v>х</v>
      </c>
      <c r="AM23" s="27" t="str">
        <f t="shared" si="16"/>
        <v>х</v>
      </c>
      <c r="AN23" s="30" t="str">
        <f t="shared" si="7"/>
        <v>нет</v>
      </c>
      <c r="AO23" s="27" t="str">
        <f t="shared" si="17"/>
        <v>х</v>
      </c>
      <c r="AP23" s="27" t="str">
        <f t="shared" si="17"/>
        <v>х</v>
      </c>
      <c r="AQ23" s="27" t="str">
        <f t="shared" si="17"/>
        <v>х</v>
      </c>
      <c r="AR23" s="27" t="str">
        <f t="shared" si="8"/>
        <v>нет</v>
      </c>
      <c r="AS23" s="27" t="str">
        <f t="shared" si="18"/>
        <v>х</v>
      </c>
      <c r="AT23" s="27" t="str">
        <f t="shared" si="18"/>
        <v>х</v>
      </c>
      <c r="AU23" s="27" t="str">
        <f t="shared" si="18"/>
        <v>х</v>
      </c>
      <c r="AV23" s="27" t="str">
        <f t="shared" si="19"/>
        <v>х</v>
      </c>
      <c r="AW23" s="27" t="str">
        <f t="shared" si="19"/>
        <v>х</v>
      </c>
      <c r="AX23" s="27" t="str">
        <f t="shared" si="19"/>
        <v>х</v>
      </c>
      <c r="AY23" s="27" t="str">
        <f t="shared" si="9"/>
        <v>нет</v>
      </c>
      <c r="AZ23" s="27" t="str">
        <f t="shared" si="20"/>
        <v>х</v>
      </c>
      <c r="BA23" s="27" t="str">
        <f t="shared" si="20"/>
        <v>х</v>
      </c>
      <c r="BB23" s="27" t="str">
        <f t="shared" si="20"/>
        <v>х</v>
      </c>
      <c r="BC23" s="27" t="str">
        <f t="shared" si="10"/>
        <v>нет</v>
      </c>
      <c r="BD23" s="27" t="str">
        <f t="shared" si="21"/>
        <v>х</v>
      </c>
      <c r="BE23" s="27" t="str">
        <f t="shared" si="21"/>
        <v>х</v>
      </c>
      <c r="BF23" s="27" t="str">
        <f t="shared" si="21"/>
        <v>х</v>
      </c>
      <c r="BG23" s="27" t="str">
        <f>""</f>
        <v/>
      </c>
      <c r="BH23" s="27" t="str">
        <f>"60,00"</f>
        <v>60,00</v>
      </c>
      <c r="BI23" s="27" t="str">
        <f>"2028-2030"</f>
        <v>2028-2030</v>
      </c>
      <c r="BJ23" s="27" t="str">
        <f t="shared" si="11"/>
        <v>нет</v>
      </c>
      <c r="BK23" s="27" t="str">
        <f t="shared" si="12"/>
        <v>x</v>
      </c>
      <c r="BL23" s="27" t="str">
        <f t="shared" ref="BL23:BL31" si="22">"x"</f>
        <v>x</v>
      </c>
      <c r="BM23" s="27" t="str">
        <f>"2025-2027"</f>
        <v>2025-2027</v>
      </c>
      <c r="BN23" s="27" t="str">
        <f>""</f>
        <v/>
      </c>
      <c r="BO23" s="27" t="str">
        <f>"50,00"</f>
        <v>50,00</v>
      </c>
      <c r="BP23" s="27" t="str">
        <f>"2016-2018"</f>
        <v>2016-2018</v>
      </c>
      <c r="BQ23" s="27" t="str">
        <f>""</f>
        <v/>
      </c>
      <c r="BR23" s="27" t="str">
        <f>"50,00"</f>
        <v>50,00</v>
      </c>
      <c r="BS23" s="27" t="str">
        <f>"2025-2027"</f>
        <v>2025-2027</v>
      </c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</row>
    <row r="24" spans="1:119" s="10" customFormat="1" ht="11.25" customHeight="1">
      <c r="A24" s="24" t="str">
        <f>"1.11"</f>
        <v>1.11</v>
      </c>
      <c r="B24" s="25" t="str">
        <f>"г. Кириллов, ул. Володарского, д.36"</f>
        <v>г. Кириллов, ул. Володарского, д.36</v>
      </c>
      <c r="C24" s="26" t="str">
        <f>"1984"</f>
        <v>1984</v>
      </c>
      <c r="D24" s="27" t="str">
        <f>""</f>
        <v/>
      </c>
      <c r="E24" s="27" t="str">
        <f>"80,00"</f>
        <v>80,00</v>
      </c>
      <c r="F24" s="27" t="str">
        <f>"2016-2018"</f>
        <v>2016-2018</v>
      </c>
      <c r="G24" s="27" t="str">
        <f>"да"</f>
        <v>да</v>
      </c>
      <c r="H24" s="27" t="str">
        <f>"2011"</f>
        <v>2011</v>
      </c>
      <c r="I24" s="27" t="str">
        <f>"13,00"</f>
        <v>13,00</v>
      </c>
      <c r="J24" s="27" t="str">
        <f>"2027-2029"</f>
        <v>2027-2029</v>
      </c>
      <c r="K24" s="27" t="str">
        <f t="shared" si="0"/>
        <v>нет</v>
      </c>
      <c r="L24" s="27" t="str">
        <f>""</f>
        <v/>
      </c>
      <c r="M24" s="27" t="str">
        <f>""</f>
        <v/>
      </c>
      <c r="N24" s="27" t="str">
        <f>""</f>
        <v/>
      </c>
      <c r="O24" s="28" t="str">
        <f>""</f>
        <v/>
      </c>
      <c r="P24" s="27" t="str">
        <f>""</f>
        <v/>
      </c>
      <c r="Q24" s="27" t="str">
        <f>""</f>
        <v/>
      </c>
      <c r="R24" s="27" t="str">
        <f t="shared" si="14"/>
        <v>нет</v>
      </c>
      <c r="S24" s="27" t="str">
        <f>""</f>
        <v/>
      </c>
      <c r="T24" s="27" t="str">
        <f>""</f>
        <v/>
      </c>
      <c r="U24" s="27" t="str">
        <f>""</f>
        <v/>
      </c>
      <c r="V24" s="27" t="str">
        <f t="shared" si="1"/>
        <v>нет</v>
      </c>
      <c r="W24" s="27" t="str">
        <f>""</f>
        <v/>
      </c>
      <c r="X24" s="27" t="str">
        <f>""</f>
        <v/>
      </c>
      <c r="Y24" s="29" t="str">
        <f>""</f>
        <v/>
      </c>
      <c r="Z24" s="27" t="str">
        <f t="shared" si="2"/>
        <v>х</v>
      </c>
      <c r="AA24" s="27" t="str">
        <f t="shared" si="2"/>
        <v>х</v>
      </c>
      <c r="AB24" s="27" t="str">
        <f t="shared" si="2"/>
        <v>х</v>
      </c>
      <c r="AC24" s="27" t="str">
        <f t="shared" si="3"/>
        <v>нет</v>
      </c>
      <c r="AD24" s="27" t="str">
        <f t="shared" si="4"/>
        <v>х</v>
      </c>
      <c r="AE24" s="27" t="str">
        <f t="shared" si="4"/>
        <v>х</v>
      </c>
      <c r="AF24" s="27" t="str">
        <f t="shared" si="4"/>
        <v>х</v>
      </c>
      <c r="AG24" s="27" t="str">
        <f t="shared" si="5"/>
        <v>нет</v>
      </c>
      <c r="AH24" s="27" t="str">
        <f t="shared" si="6"/>
        <v>х</v>
      </c>
      <c r="AI24" s="27" t="str">
        <f t="shared" si="6"/>
        <v>х</v>
      </c>
      <c r="AJ24" s="27" t="str">
        <f t="shared" si="6"/>
        <v>х</v>
      </c>
      <c r="AK24" s="28" t="str">
        <f t="shared" si="16"/>
        <v>х</v>
      </c>
      <c r="AL24" s="27" t="str">
        <f t="shared" si="16"/>
        <v>х</v>
      </c>
      <c r="AM24" s="27" t="str">
        <f t="shared" si="16"/>
        <v>х</v>
      </c>
      <c r="AN24" s="30" t="str">
        <f t="shared" si="7"/>
        <v>нет</v>
      </c>
      <c r="AO24" s="27" t="str">
        <f t="shared" si="17"/>
        <v>х</v>
      </c>
      <c r="AP24" s="27" t="str">
        <f t="shared" si="17"/>
        <v>х</v>
      </c>
      <c r="AQ24" s="27" t="str">
        <f t="shared" si="17"/>
        <v>х</v>
      </c>
      <c r="AR24" s="27" t="str">
        <f t="shared" si="8"/>
        <v>нет</v>
      </c>
      <c r="AS24" s="27" t="str">
        <f t="shared" si="18"/>
        <v>х</v>
      </c>
      <c r="AT24" s="27" t="str">
        <f t="shared" si="18"/>
        <v>х</v>
      </c>
      <c r="AU24" s="27" t="str">
        <f t="shared" si="18"/>
        <v>х</v>
      </c>
      <c r="AV24" s="27" t="str">
        <f t="shared" si="19"/>
        <v>х</v>
      </c>
      <c r="AW24" s="27" t="str">
        <f t="shared" si="19"/>
        <v>х</v>
      </c>
      <c r="AX24" s="27" t="str">
        <f t="shared" si="19"/>
        <v>х</v>
      </c>
      <c r="AY24" s="27" t="str">
        <f t="shared" si="9"/>
        <v>нет</v>
      </c>
      <c r="AZ24" s="27" t="str">
        <f t="shared" si="20"/>
        <v>х</v>
      </c>
      <c r="BA24" s="27" t="str">
        <f t="shared" si="20"/>
        <v>х</v>
      </c>
      <c r="BB24" s="27" t="str">
        <f t="shared" si="20"/>
        <v>х</v>
      </c>
      <c r="BC24" s="27" t="str">
        <f t="shared" si="10"/>
        <v>нет</v>
      </c>
      <c r="BD24" s="27" t="str">
        <f t="shared" si="21"/>
        <v>х</v>
      </c>
      <c r="BE24" s="27" t="str">
        <f t="shared" si="21"/>
        <v>х</v>
      </c>
      <c r="BF24" s="27" t="str">
        <f t="shared" si="21"/>
        <v>х</v>
      </c>
      <c r="BG24" s="27" t="str">
        <f>"2008"</f>
        <v>2008</v>
      </c>
      <c r="BH24" s="27" t="str">
        <f>"8,00"</f>
        <v>8,00</v>
      </c>
      <c r="BI24" s="27" t="str">
        <f>"2031-2033"</f>
        <v>2031-2033</v>
      </c>
      <c r="BJ24" s="27" t="str">
        <f t="shared" si="11"/>
        <v>нет</v>
      </c>
      <c r="BK24" s="27" t="str">
        <f t="shared" si="12"/>
        <v>x</v>
      </c>
      <c r="BL24" s="27" t="str">
        <f t="shared" si="22"/>
        <v>x</v>
      </c>
      <c r="BM24" s="27" t="str">
        <f>"2026-2028"</f>
        <v>2026-2028</v>
      </c>
      <c r="BN24" s="27" t="str">
        <f>""</f>
        <v/>
      </c>
      <c r="BO24" s="27" t="str">
        <f>"50,00"</f>
        <v>50,00</v>
      </c>
      <c r="BP24" s="27" t="str">
        <f>"2033-2035"</f>
        <v>2033-2035</v>
      </c>
      <c r="BQ24" s="27" t="str">
        <f>""</f>
        <v/>
      </c>
      <c r="BR24" s="27" t="str">
        <f>"58,00"</f>
        <v>58,00</v>
      </c>
      <c r="BS24" s="27" t="str">
        <f>"2026-2028"</f>
        <v>2026-2028</v>
      </c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</row>
    <row r="25" spans="1:119" s="10" customFormat="1" ht="11.25" customHeight="1">
      <c r="A25" s="24" t="str">
        <f>"1.12"</f>
        <v>1.12</v>
      </c>
      <c r="B25" s="25" t="str">
        <f>"г. Кириллов, ул. Володарского, д.4"</f>
        <v>г. Кириллов, ул. Володарского, д.4</v>
      </c>
      <c r="C25" s="26" t="str">
        <f>"1999"</f>
        <v>1999</v>
      </c>
      <c r="D25" s="27" t="str">
        <f>""</f>
        <v/>
      </c>
      <c r="E25" s="27" t="str">
        <f>"45,00"</f>
        <v>45,00</v>
      </c>
      <c r="F25" s="27" t="str">
        <f>"2033-2035"</f>
        <v>2033-2035</v>
      </c>
      <c r="G25" s="27" t="str">
        <f>"да"</f>
        <v>да</v>
      </c>
      <c r="H25" s="27" t="str">
        <f>"2010"</f>
        <v>2010</v>
      </c>
      <c r="I25" s="27" t="str">
        <f>"19,00"</f>
        <v>19,00</v>
      </c>
      <c r="J25" s="27" t="str">
        <f>"2026-2028"</f>
        <v>2026-2028</v>
      </c>
      <c r="K25" s="27" t="str">
        <f t="shared" si="0"/>
        <v>нет</v>
      </c>
      <c r="L25" s="27" t="str">
        <f>""</f>
        <v/>
      </c>
      <c r="M25" s="27" t="str">
        <f>""</f>
        <v/>
      </c>
      <c r="N25" s="27" t="str">
        <f>""</f>
        <v/>
      </c>
      <c r="O25" s="28" t="str">
        <f>""</f>
        <v/>
      </c>
      <c r="P25" s="27" t="str">
        <f>""</f>
        <v/>
      </c>
      <c r="Q25" s="27" t="str">
        <f>""</f>
        <v/>
      </c>
      <c r="R25" s="27" t="str">
        <f t="shared" si="14"/>
        <v>нет</v>
      </c>
      <c r="S25" s="27" t="str">
        <f>""</f>
        <v/>
      </c>
      <c r="T25" s="27" t="str">
        <f>""</f>
        <v/>
      </c>
      <c r="U25" s="27" t="str">
        <f>""</f>
        <v/>
      </c>
      <c r="V25" s="27" t="str">
        <f t="shared" si="1"/>
        <v>нет</v>
      </c>
      <c r="W25" s="27" t="str">
        <f>""</f>
        <v/>
      </c>
      <c r="X25" s="27" t="str">
        <f>""</f>
        <v/>
      </c>
      <c r="Y25" s="29" t="str">
        <f>""</f>
        <v/>
      </c>
      <c r="Z25" s="27" t="str">
        <f t="shared" si="2"/>
        <v>х</v>
      </c>
      <c r="AA25" s="27" t="str">
        <f t="shared" si="2"/>
        <v>х</v>
      </c>
      <c r="AB25" s="27" t="str">
        <f t="shared" si="2"/>
        <v>х</v>
      </c>
      <c r="AC25" s="27" t="str">
        <f t="shared" si="3"/>
        <v>нет</v>
      </c>
      <c r="AD25" s="27" t="str">
        <f t="shared" si="4"/>
        <v>х</v>
      </c>
      <c r="AE25" s="27" t="str">
        <f t="shared" si="4"/>
        <v>х</v>
      </c>
      <c r="AF25" s="27" t="str">
        <f t="shared" si="4"/>
        <v>х</v>
      </c>
      <c r="AG25" s="27" t="str">
        <f t="shared" si="5"/>
        <v>нет</v>
      </c>
      <c r="AH25" s="27" t="str">
        <f t="shared" si="6"/>
        <v>х</v>
      </c>
      <c r="AI25" s="27" t="str">
        <f t="shared" si="6"/>
        <v>х</v>
      </c>
      <c r="AJ25" s="27" t="str">
        <f t="shared" si="6"/>
        <v>х</v>
      </c>
      <c r="AK25" s="28" t="str">
        <f>""</f>
        <v/>
      </c>
      <c r="AL25" s="27" t="str">
        <f>"45,00"</f>
        <v>45,00</v>
      </c>
      <c r="AM25" s="27" t="str">
        <f>"2019-2021"</f>
        <v>2019-2021</v>
      </c>
      <c r="AN25" s="30" t="str">
        <f t="shared" si="7"/>
        <v>нет</v>
      </c>
      <c r="AO25" s="27" t="str">
        <f>""</f>
        <v/>
      </c>
      <c r="AP25" s="27" t="str">
        <f>""</f>
        <v/>
      </c>
      <c r="AQ25" s="27" t="str">
        <f>""</f>
        <v/>
      </c>
      <c r="AR25" s="27" t="str">
        <f t="shared" si="8"/>
        <v>нет</v>
      </c>
      <c r="AS25" s="27" t="str">
        <f>""</f>
        <v/>
      </c>
      <c r="AT25" s="27" t="str">
        <f>""</f>
        <v/>
      </c>
      <c r="AU25" s="27" t="str">
        <f>""</f>
        <v/>
      </c>
      <c r="AV25" s="27" t="str">
        <f>""</f>
        <v/>
      </c>
      <c r="AW25" s="27" t="str">
        <f>"56,00"</f>
        <v>56,00</v>
      </c>
      <c r="AX25" s="27" t="str">
        <f>"2039-2041"</f>
        <v>2039-2041</v>
      </c>
      <c r="AY25" s="27" t="str">
        <f t="shared" si="9"/>
        <v>нет</v>
      </c>
      <c r="AZ25" s="27" t="str">
        <f>""</f>
        <v/>
      </c>
      <c r="BA25" s="27" t="str">
        <f>""</f>
        <v/>
      </c>
      <c r="BB25" s="27" t="str">
        <f>""</f>
        <v/>
      </c>
      <c r="BC25" s="27" t="str">
        <f t="shared" si="10"/>
        <v>нет</v>
      </c>
      <c r="BD25" s="27" t="str">
        <f>""</f>
        <v/>
      </c>
      <c r="BE25" s="27" t="str">
        <f>""</f>
        <v/>
      </c>
      <c r="BF25" s="27" t="str">
        <f>""</f>
        <v/>
      </c>
      <c r="BG25" s="27" t="str">
        <f>""</f>
        <v/>
      </c>
      <c r="BH25" s="27" t="str">
        <f>"56,00"</f>
        <v>56,00</v>
      </c>
      <c r="BI25" s="27" t="str">
        <f>"2035-2037"</f>
        <v>2035-2037</v>
      </c>
      <c r="BJ25" s="27" t="str">
        <f t="shared" si="11"/>
        <v>нет</v>
      </c>
      <c r="BK25" s="27" t="str">
        <f t="shared" si="12"/>
        <v>x</v>
      </c>
      <c r="BL25" s="27" t="str">
        <f t="shared" si="22"/>
        <v>x</v>
      </c>
      <c r="BM25" s="27" t="str">
        <f>"2039-2041"</f>
        <v>2039-2041</v>
      </c>
      <c r="BN25" s="27" t="str">
        <f>""</f>
        <v/>
      </c>
      <c r="BO25" s="27" t="str">
        <f>"47,00"</f>
        <v>47,00</v>
      </c>
      <c r="BP25" s="27" t="str">
        <f>"2024-2026"</f>
        <v>2024-2026</v>
      </c>
      <c r="BQ25" s="27" t="str">
        <f>""</f>
        <v/>
      </c>
      <c r="BR25" s="27" t="str">
        <f>"28,00"</f>
        <v>28,00</v>
      </c>
      <c r="BS25" s="27" t="str">
        <f>"2039-2041"</f>
        <v>2039-2041</v>
      </c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</row>
    <row r="26" spans="1:119" s="10" customFormat="1" ht="11.25" customHeight="1">
      <c r="A26" s="24" t="str">
        <f>"1.13"</f>
        <v>1.13</v>
      </c>
      <c r="B26" s="25" t="str">
        <f>"г. Кириллов, ул. Володарского, д.9А"</f>
        <v>г. Кириллов, ул. Володарского, д.9А</v>
      </c>
      <c r="C26" s="26" t="str">
        <f>"1978"</f>
        <v>1978</v>
      </c>
      <c r="D26" s="27" t="str">
        <f>"2010"</f>
        <v>2010</v>
      </c>
      <c r="E26" s="27" t="str">
        <f>"15,00"</f>
        <v>15,00</v>
      </c>
      <c r="F26" s="27" t="str">
        <f>"2032-2034"</f>
        <v>2032-2034</v>
      </c>
      <c r="G26" s="27" t="str">
        <f>"да"</f>
        <v>да</v>
      </c>
      <c r="H26" s="27" t="str">
        <f>"2010"</f>
        <v>2010</v>
      </c>
      <c r="I26" s="27" t="str">
        <f>"18,00"</f>
        <v>18,00</v>
      </c>
      <c r="J26" s="27" t="str">
        <f>"2026-2028"</f>
        <v>2026-2028</v>
      </c>
      <c r="K26" s="27" t="str">
        <f t="shared" si="0"/>
        <v>нет</v>
      </c>
      <c r="L26" s="27" t="str">
        <f>""</f>
        <v/>
      </c>
      <c r="M26" s="27" t="str">
        <f>""</f>
        <v/>
      </c>
      <c r="N26" s="27" t="str">
        <f>""</f>
        <v/>
      </c>
      <c r="O26" s="28" t="str">
        <f>""</f>
        <v/>
      </c>
      <c r="P26" s="27" t="str">
        <f>""</f>
        <v/>
      </c>
      <c r="Q26" s="27" t="str">
        <f>""</f>
        <v/>
      </c>
      <c r="R26" s="27" t="str">
        <f t="shared" si="14"/>
        <v>нет</v>
      </c>
      <c r="S26" s="27" t="str">
        <f>""</f>
        <v/>
      </c>
      <c r="T26" s="27" t="str">
        <f>""</f>
        <v/>
      </c>
      <c r="U26" s="27" t="str">
        <f>""</f>
        <v/>
      </c>
      <c r="V26" s="27" t="str">
        <f t="shared" si="1"/>
        <v>нет</v>
      </c>
      <c r="W26" s="27" t="str">
        <f>""</f>
        <v/>
      </c>
      <c r="X26" s="27" t="str">
        <f>""</f>
        <v/>
      </c>
      <c r="Y26" s="29" t="str">
        <f>""</f>
        <v/>
      </c>
      <c r="Z26" s="27" t="str">
        <f t="shared" si="2"/>
        <v>х</v>
      </c>
      <c r="AA26" s="27" t="str">
        <f t="shared" si="2"/>
        <v>х</v>
      </c>
      <c r="AB26" s="27" t="str">
        <f t="shared" si="2"/>
        <v>х</v>
      </c>
      <c r="AC26" s="27" t="str">
        <f t="shared" si="3"/>
        <v>нет</v>
      </c>
      <c r="AD26" s="27" t="str">
        <f t="shared" si="4"/>
        <v>х</v>
      </c>
      <c r="AE26" s="27" t="str">
        <f t="shared" si="4"/>
        <v>х</v>
      </c>
      <c r="AF26" s="27" t="str">
        <f t="shared" si="4"/>
        <v>х</v>
      </c>
      <c r="AG26" s="27" t="str">
        <f t="shared" si="5"/>
        <v>нет</v>
      </c>
      <c r="AH26" s="27" t="str">
        <f t="shared" si="6"/>
        <v>х</v>
      </c>
      <c r="AI26" s="27" t="str">
        <f t="shared" si="6"/>
        <v>х</v>
      </c>
      <c r="AJ26" s="27" t="str">
        <f t="shared" si="6"/>
        <v>х</v>
      </c>
      <c r="AK26" s="28" t="str">
        <f>"2010"</f>
        <v>2010</v>
      </c>
      <c r="AL26" s="27" t="str">
        <f>"10,00"</f>
        <v>10,00</v>
      </c>
      <c r="AM26" s="27" t="str">
        <f>"2040-2042"</f>
        <v>2040-2042</v>
      </c>
      <c r="AN26" s="30" t="str">
        <f>"да"</f>
        <v>да</v>
      </c>
      <c r="AO26" s="27" t="str">
        <f>"2010"</f>
        <v>2010</v>
      </c>
      <c r="AP26" s="27" t="str">
        <f>"50,00"</f>
        <v>50,00</v>
      </c>
      <c r="AQ26" s="27" t="str">
        <f>"2016-2018"</f>
        <v>2016-2018</v>
      </c>
      <c r="AR26" s="27" t="str">
        <f t="shared" si="8"/>
        <v>нет</v>
      </c>
      <c r="AS26" s="27" t="str">
        <f>""</f>
        <v/>
      </c>
      <c r="AT26" s="27" t="str">
        <f>""</f>
        <v/>
      </c>
      <c r="AU26" s="27" t="str">
        <f>""</f>
        <v/>
      </c>
      <c r="AV26" s="27" t="str">
        <f>"2010"</f>
        <v>2010</v>
      </c>
      <c r="AW26" s="27" t="str">
        <f>"6,00"</f>
        <v>6,00</v>
      </c>
      <c r="AX26" s="27" t="str">
        <f>"2045-2047"</f>
        <v>2045-2047</v>
      </c>
      <c r="AY26" s="27" t="str">
        <f t="shared" si="9"/>
        <v>нет</v>
      </c>
      <c r="AZ26" s="27" t="str">
        <f>""</f>
        <v/>
      </c>
      <c r="BA26" s="27" t="str">
        <f>""</f>
        <v/>
      </c>
      <c r="BB26" s="27" t="str">
        <f>""</f>
        <v/>
      </c>
      <c r="BC26" s="27" t="str">
        <f t="shared" si="10"/>
        <v>нет</v>
      </c>
      <c r="BD26" s="27" t="str">
        <f>""</f>
        <v/>
      </c>
      <c r="BE26" s="27" t="str">
        <f>""</f>
        <v/>
      </c>
      <c r="BF26" s="27" t="str">
        <f>""</f>
        <v/>
      </c>
      <c r="BG26" s="27" t="str">
        <f>"2010"</f>
        <v>2010</v>
      </c>
      <c r="BH26" s="27" t="str">
        <f>"20,00"</f>
        <v>20,00</v>
      </c>
      <c r="BI26" s="27" t="str">
        <f>"2030-2032"</f>
        <v>2030-2032</v>
      </c>
      <c r="BJ26" s="27" t="str">
        <f t="shared" si="11"/>
        <v>нет</v>
      </c>
      <c r="BK26" s="27" t="str">
        <f>"2010"</f>
        <v>2010</v>
      </c>
      <c r="BL26" s="27" t="str">
        <f t="shared" si="22"/>
        <v>x</v>
      </c>
      <c r="BM26" s="27" t="str">
        <f>"2045-2047"</f>
        <v>2045-2047</v>
      </c>
      <c r="BN26" s="27" t="str">
        <f>"2010"</f>
        <v>2010</v>
      </c>
      <c r="BO26" s="27" t="str">
        <f>"10,00"</f>
        <v>10,00</v>
      </c>
      <c r="BP26" s="27" t="str">
        <f>"2040-2042"</f>
        <v>2040-2042</v>
      </c>
      <c r="BQ26" s="27" t="str">
        <f>"2010"</f>
        <v>2010</v>
      </c>
      <c r="BR26" s="27" t="str">
        <f>"6,00"</f>
        <v>6,00</v>
      </c>
      <c r="BS26" s="27" t="str">
        <f>"2045-2047"</f>
        <v>2045-2047</v>
      </c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</row>
    <row r="27" spans="1:119" s="10" customFormat="1" ht="11.25" customHeight="1">
      <c r="A27" s="24" t="str">
        <f>"1.14"</f>
        <v>1.14</v>
      </c>
      <c r="B27" s="25" t="str">
        <f>"г. Кириллов, ул. Гагарина, д.100"</f>
        <v>г. Кириллов, ул. Гагарина, д.100</v>
      </c>
      <c r="C27" s="26" t="str">
        <f>"1956"</f>
        <v>1956</v>
      </c>
      <c r="D27" s="27" t="str">
        <f>""</f>
        <v/>
      </c>
      <c r="E27" s="27" t="str">
        <f>"80,00"</f>
        <v>80,00</v>
      </c>
      <c r="F27" s="27" t="str">
        <f>"2019-2021"</f>
        <v>2019-2021</v>
      </c>
      <c r="G27" s="27" t="str">
        <f>"нет"</f>
        <v>нет</v>
      </c>
      <c r="H27" s="27" t="str">
        <f>""</f>
        <v/>
      </c>
      <c r="I27" s="27" t="str">
        <f>""</f>
        <v/>
      </c>
      <c r="J27" s="27" t="str">
        <f>""</f>
        <v/>
      </c>
      <c r="K27" s="27" t="str">
        <f t="shared" si="0"/>
        <v>нет</v>
      </c>
      <c r="L27" s="27" t="str">
        <f>""</f>
        <v/>
      </c>
      <c r="M27" s="27" t="str">
        <f>""</f>
        <v/>
      </c>
      <c r="N27" s="27" t="str">
        <f>""</f>
        <v/>
      </c>
      <c r="O27" s="28" t="str">
        <f>""</f>
        <v/>
      </c>
      <c r="P27" s="27" t="str">
        <f>""</f>
        <v/>
      </c>
      <c r="Q27" s="27" t="str">
        <f>""</f>
        <v/>
      </c>
      <c r="R27" s="27" t="str">
        <f t="shared" si="14"/>
        <v>нет</v>
      </c>
      <c r="S27" s="27" t="str">
        <f>""</f>
        <v/>
      </c>
      <c r="T27" s="27" t="str">
        <f>""</f>
        <v/>
      </c>
      <c r="U27" s="27" t="str">
        <f>""</f>
        <v/>
      </c>
      <c r="V27" s="27" t="str">
        <f t="shared" si="1"/>
        <v>нет</v>
      </c>
      <c r="W27" s="27" t="str">
        <f>""</f>
        <v/>
      </c>
      <c r="X27" s="27" t="str">
        <f>""</f>
        <v/>
      </c>
      <c r="Y27" s="29" t="str">
        <f>""</f>
        <v/>
      </c>
      <c r="Z27" s="27" t="str">
        <f t="shared" si="2"/>
        <v>х</v>
      </c>
      <c r="AA27" s="27" t="str">
        <f t="shared" si="2"/>
        <v>х</v>
      </c>
      <c r="AB27" s="27" t="str">
        <f t="shared" si="2"/>
        <v>х</v>
      </c>
      <c r="AC27" s="27" t="str">
        <f t="shared" si="3"/>
        <v>нет</v>
      </c>
      <c r="AD27" s="27" t="str">
        <f t="shared" si="4"/>
        <v>х</v>
      </c>
      <c r="AE27" s="27" t="str">
        <f t="shared" si="4"/>
        <v>х</v>
      </c>
      <c r="AF27" s="27" t="str">
        <f t="shared" si="4"/>
        <v>х</v>
      </c>
      <c r="AG27" s="27" t="str">
        <f t="shared" si="5"/>
        <v>нет</v>
      </c>
      <c r="AH27" s="27" t="str">
        <f t="shared" si="6"/>
        <v>х</v>
      </c>
      <c r="AI27" s="27" t="str">
        <f t="shared" si="6"/>
        <v>х</v>
      </c>
      <c r="AJ27" s="27" t="str">
        <f t="shared" si="6"/>
        <v>х</v>
      </c>
      <c r="AK27" s="28" t="str">
        <f t="shared" ref="AK27:AM28" si="23">"х"</f>
        <v>х</v>
      </c>
      <c r="AL27" s="27" t="str">
        <f t="shared" si="23"/>
        <v>х</v>
      </c>
      <c r="AM27" s="27" t="str">
        <f t="shared" si="23"/>
        <v>х</v>
      </c>
      <c r="AN27" s="30" t="str">
        <f t="shared" ref="AN27:AN36" si="24">"нет"</f>
        <v>нет</v>
      </c>
      <c r="AO27" s="27" t="str">
        <f t="shared" ref="AO27:AQ28" si="25">"х"</f>
        <v>х</v>
      </c>
      <c r="AP27" s="27" t="str">
        <f t="shared" si="25"/>
        <v>х</v>
      </c>
      <c r="AQ27" s="27" t="str">
        <f t="shared" si="25"/>
        <v>х</v>
      </c>
      <c r="AR27" s="27" t="str">
        <f t="shared" si="8"/>
        <v>нет</v>
      </c>
      <c r="AS27" s="27" t="str">
        <f t="shared" ref="AS27:AU28" si="26">"х"</f>
        <v>х</v>
      </c>
      <c r="AT27" s="27" t="str">
        <f t="shared" si="26"/>
        <v>х</v>
      </c>
      <c r="AU27" s="27" t="str">
        <f t="shared" si="26"/>
        <v>х</v>
      </c>
      <c r="AV27" s="27" t="str">
        <f t="shared" ref="AV27:AX28" si="27">"х"</f>
        <v>х</v>
      </c>
      <c r="AW27" s="27" t="str">
        <f t="shared" si="27"/>
        <v>х</v>
      </c>
      <c r="AX27" s="27" t="str">
        <f t="shared" si="27"/>
        <v>х</v>
      </c>
      <c r="AY27" s="27" t="str">
        <f t="shared" si="9"/>
        <v>нет</v>
      </c>
      <c r="AZ27" s="27" t="str">
        <f t="shared" ref="AZ27:BB28" si="28">"х"</f>
        <v>х</v>
      </c>
      <c r="BA27" s="27" t="str">
        <f t="shared" si="28"/>
        <v>х</v>
      </c>
      <c r="BB27" s="27" t="str">
        <f t="shared" si="28"/>
        <v>х</v>
      </c>
      <c r="BC27" s="27" t="str">
        <f t="shared" si="10"/>
        <v>нет</v>
      </c>
      <c r="BD27" s="27" t="str">
        <f t="shared" ref="BD27:BF28" si="29">"х"</f>
        <v>х</v>
      </c>
      <c r="BE27" s="27" t="str">
        <f t="shared" si="29"/>
        <v>х</v>
      </c>
      <c r="BF27" s="27" t="str">
        <f t="shared" si="29"/>
        <v>х</v>
      </c>
      <c r="BG27" s="27" t="str">
        <f>""</f>
        <v/>
      </c>
      <c r="BH27" s="27" t="str">
        <f t="shared" ref="BH27:BH32" si="30">"60,00"</f>
        <v>60,00</v>
      </c>
      <c r="BI27" s="27" t="str">
        <f>"2022-2024"</f>
        <v>2022-2024</v>
      </c>
      <c r="BJ27" s="27" t="str">
        <f t="shared" si="11"/>
        <v>нет</v>
      </c>
      <c r="BK27" s="27" t="str">
        <f t="shared" ref="BK27:BK36" si="31">"x"</f>
        <v>x</v>
      </c>
      <c r="BL27" s="27" t="str">
        <f t="shared" si="22"/>
        <v>x</v>
      </c>
      <c r="BM27" s="27" t="str">
        <f>"2015-2017"</f>
        <v>2015-2017</v>
      </c>
      <c r="BN27" s="27" t="str">
        <f>""</f>
        <v/>
      </c>
      <c r="BO27" s="27" t="str">
        <f>"60,00"</f>
        <v>60,00</v>
      </c>
      <c r="BP27" s="27" t="str">
        <f>"2021-2023"</f>
        <v>2021-2023</v>
      </c>
      <c r="BQ27" s="27" t="str">
        <f>""</f>
        <v/>
      </c>
      <c r="BR27" s="27" t="str">
        <f>"60,00"</f>
        <v>60,00</v>
      </c>
      <c r="BS27" s="27" t="str">
        <f>"2015-2017"</f>
        <v>2015-2017</v>
      </c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</row>
    <row r="28" spans="1:119" s="10" customFormat="1" ht="11.25" customHeight="1">
      <c r="A28" s="24" t="str">
        <f>"1.15"</f>
        <v>1.15</v>
      </c>
      <c r="B28" s="25" t="str">
        <f>"г. Кириллов, ул. Гагарина, д.101"</f>
        <v>г. Кириллов, ул. Гагарина, д.101</v>
      </c>
      <c r="C28" s="26" t="str">
        <f>"1961"</f>
        <v>1961</v>
      </c>
      <c r="D28" s="27" t="str">
        <f>""</f>
        <v/>
      </c>
      <c r="E28" s="27" t="str">
        <f>"80,00"</f>
        <v>80,00</v>
      </c>
      <c r="F28" s="27" t="str">
        <f>"2020-2022"</f>
        <v>2020-2022</v>
      </c>
      <c r="G28" s="27" t="str">
        <f>"нет"</f>
        <v>нет</v>
      </c>
      <c r="H28" s="27" t="str">
        <f>""</f>
        <v/>
      </c>
      <c r="I28" s="27" t="str">
        <f>""</f>
        <v/>
      </c>
      <c r="J28" s="27" t="str">
        <f>""</f>
        <v/>
      </c>
      <c r="K28" s="27" t="str">
        <f t="shared" si="0"/>
        <v>нет</v>
      </c>
      <c r="L28" s="27" t="str">
        <f>""</f>
        <v/>
      </c>
      <c r="M28" s="27" t="str">
        <f>""</f>
        <v/>
      </c>
      <c r="N28" s="27" t="str">
        <f>""</f>
        <v/>
      </c>
      <c r="O28" s="28" t="str">
        <f>""</f>
        <v/>
      </c>
      <c r="P28" s="27" t="str">
        <f>""</f>
        <v/>
      </c>
      <c r="Q28" s="27" t="str">
        <f>""</f>
        <v/>
      </c>
      <c r="R28" s="27" t="str">
        <f t="shared" si="14"/>
        <v>нет</v>
      </c>
      <c r="S28" s="27" t="str">
        <f>""</f>
        <v/>
      </c>
      <c r="T28" s="27" t="str">
        <f>""</f>
        <v/>
      </c>
      <c r="U28" s="27" t="str">
        <f>""</f>
        <v/>
      </c>
      <c r="V28" s="27" t="str">
        <f t="shared" si="1"/>
        <v>нет</v>
      </c>
      <c r="W28" s="27" t="str">
        <f>""</f>
        <v/>
      </c>
      <c r="X28" s="27" t="str">
        <f>""</f>
        <v/>
      </c>
      <c r="Y28" s="29" t="str">
        <f>""</f>
        <v/>
      </c>
      <c r="Z28" s="27" t="str">
        <f t="shared" si="2"/>
        <v>х</v>
      </c>
      <c r="AA28" s="27" t="str">
        <f t="shared" si="2"/>
        <v>х</v>
      </c>
      <c r="AB28" s="27" t="str">
        <f t="shared" si="2"/>
        <v>х</v>
      </c>
      <c r="AC28" s="27" t="str">
        <f t="shared" si="3"/>
        <v>нет</v>
      </c>
      <c r="AD28" s="27" t="str">
        <f t="shared" si="4"/>
        <v>х</v>
      </c>
      <c r="AE28" s="27" t="str">
        <f t="shared" si="4"/>
        <v>х</v>
      </c>
      <c r="AF28" s="27" t="str">
        <f t="shared" si="4"/>
        <v>х</v>
      </c>
      <c r="AG28" s="27" t="str">
        <f t="shared" si="5"/>
        <v>нет</v>
      </c>
      <c r="AH28" s="27" t="str">
        <f t="shared" si="6"/>
        <v>х</v>
      </c>
      <c r="AI28" s="27" t="str">
        <f t="shared" si="6"/>
        <v>х</v>
      </c>
      <c r="AJ28" s="27" t="str">
        <f t="shared" si="6"/>
        <v>х</v>
      </c>
      <c r="AK28" s="28" t="str">
        <f t="shared" si="23"/>
        <v>х</v>
      </c>
      <c r="AL28" s="27" t="str">
        <f t="shared" si="23"/>
        <v>х</v>
      </c>
      <c r="AM28" s="27" t="str">
        <f t="shared" si="23"/>
        <v>х</v>
      </c>
      <c r="AN28" s="30" t="str">
        <f t="shared" si="24"/>
        <v>нет</v>
      </c>
      <c r="AO28" s="27" t="str">
        <f t="shared" si="25"/>
        <v>х</v>
      </c>
      <c r="AP28" s="27" t="str">
        <f t="shared" si="25"/>
        <v>х</v>
      </c>
      <c r="AQ28" s="27" t="str">
        <f t="shared" si="25"/>
        <v>х</v>
      </c>
      <c r="AR28" s="27" t="str">
        <f t="shared" si="8"/>
        <v>нет</v>
      </c>
      <c r="AS28" s="27" t="str">
        <f t="shared" si="26"/>
        <v>х</v>
      </c>
      <c r="AT28" s="27" t="str">
        <f t="shared" si="26"/>
        <v>х</v>
      </c>
      <c r="AU28" s="27" t="str">
        <f t="shared" si="26"/>
        <v>х</v>
      </c>
      <c r="AV28" s="27" t="str">
        <f t="shared" si="27"/>
        <v>х</v>
      </c>
      <c r="AW28" s="27" t="str">
        <f t="shared" si="27"/>
        <v>х</v>
      </c>
      <c r="AX28" s="27" t="str">
        <f t="shared" si="27"/>
        <v>х</v>
      </c>
      <c r="AY28" s="27" t="str">
        <f t="shared" si="9"/>
        <v>нет</v>
      </c>
      <c r="AZ28" s="27" t="str">
        <f t="shared" si="28"/>
        <v>х</v>
      </c>
      <c r="BA28" s="27" t="str">
        <f t="shared" si="28"/>
        <v>х</v>
      </c>
      <c r="BB28" s="27" t="str">
        <f t="shared" si="28"/>
        <v>х</v>
      </c>
      <c r="BC28" s="27" t="str">
        <f t="shared" si="10"/>
        <v>нет</v>
      </c>
      <c r="BD28" s="27" t="str">
        <f t="shared" si="29"/>
        <v>х</v>
      </c>
      <c r="BE28" s="27" t="str">
        <f t="shared" si="29"/>
        <v>х</v>
      </c>
      <c r="BF28" s="27" t="str">
        <f t="shared" si="29"/>
        <v>х</v>
      </c>
      <c r="BG28" s="27" t="str">
        <f>""</f>
        <v/>
      </c>
      <c r="BH28" s="27" t="str">
        <f t="shared" si="30"/>
        <v>60,00</v>
      </c>
      <c r="BI28" s="27" t="str">
        <f>"2022-2024"</f>
        <v>2022-2024</v>
      </c>
      <c r="BJ28" s="27" t="str">
        <f t="shared" si="11"/>
        <v>нет</v>
      </c>
      <c r="BK28" s="27" t="str">
        <f t="shared" si="31"/>
        <v>x</v>
      </c>
      <c r="BL28" s="27" t="str">
        <f t="shared" si="22"/>
        <v>x</v>
      </c>
      <c r="BM28" s="27" t="str">
        <f>"2015-2017"</f>
        <v>2015-2017</v>
      </c>
      <c r="BN28" s="27" t="str">
        <f>""</f>
        <v/>
      </c>
      <c r="BO28" s="27" t="str">
        <f>"60,00"</f>
        <v>60,00</v>
      </c>
      <c r="BP28" s="27" t="str">
        <f>"2027-2029"</f>
        <v>2027-2029</v>
      </c>
      <c r="BQ28" s="27" t="str">
        <f>""</f>
        <v/>
      </c>
      <c r="BR28" s="27" t="str">
        <f>"60,00"</f>
        <v>60,00</v>
      </c>
      <c r="BS28" s="27" t="str">
        <f>"2015-2017"</f>
        <v>2015-2017</v>
      </c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</row>
    <row r="29" spans="1:119" s="9" customFormat="1" ht="11.25" customHeight="1">
      <c r="A29" s="24" t="str">
        <f>"1.16"</f>
        <v>1.16</v>
      </c>
      <c r="B29" s="25" t="str">
        <f>"г. Кириллов, ул. Гагарина, д.128"</f>
        <v>г. Кириллов, ул. Гагарина, д.128</v>
      </c>
      <c r="C29" s="26" t="str">
        <f>"1970"</f>
        <v>1970</v>
      </c>
      <c r="D29" s="27" t="str">
        <f>""</f>
        <v/>
      </c>
      <c r="E29" s="27" t="str">
        <f>"90,00"</f>
        <v>90,00</v>
      </c>
      <c r="F29" s="27" t="str">
        <f>"2023-2025"</f>
        <v>2023-2025</v>
      </c>
      <c r="G29" s="27" t="str">
        <f>"да"</f>
        <v>да</v>
      </c>
      <c r="H29" s="27" t="str">
        <f>"2011"</f>
        <v>2011</v>
      </c>
      <c r="I29" s="27" t="str">
        <f>"13,00"</f>
        <v>13,00</v>
      </c>
      <c r="J29" s="27" t="str">
        <f>"2027-2029"</f>
        <v>2027-2029</v>
      </c>
      <c r="K29" s="27" t="str">
        <f t="shared" si="0"/>
        <v>нет</v>
      </c>
      <c r="L29" s="27" t="str">
        <f>""</f>
        <v/>
      </c>
      <c r="M29" s="27" t="str">
        <f>""</f>
        <v/>
      </c>
      <c r="N29" s="27" t="str">
        <f>""</f>
        <v/>
      </c>
      <c r="O29" s="28" t="str">
        <f>""</f>
        <v/>
      </c>
      <c r="P29" s="27" t="str">
        <f>"90,00"</f>
        <v>90,00</v>
      </c>
      <c r="Q29" s="27" t="str">
        <f>"2023-2025"</f>
        <v>2023-2025</v>
      </c>
      <c r="R29" s="27" t="str">
        <f t="shared" si="14"/>
        <v>нет</v>
      </c>
      <c r="S29" s="27" t="str">
        <f>""</f>
        <v/>
      </c>
      <c r="T29" s="27" t="str">
        <f>""</f>
        <v/>
      </c>
      <c r="U29" s="27" t="str">
        <f>""</f>
        <v/>
      </c>
      <c r="V29" s="27" t="str">
        <f t="shared" si="1"/>
        <v>нет</v>
      </c>
      <c r="W29" s="27" t="str">
        <f>""</f>
        <v/>
      </c>
      <c r="X29" s="27" t="str">
        <f>""</f>
        <v/>
      </c>
      <c r="Y29" s="29" t="str">
        <f>""</f>
        <v/>
      </c>
      <c r="Z29" s="27" t="str">
        <f t="shared" si="2"/>
        <v>х</v>
      </c>
      <c r="AA29" s="27" t="str">
        <f t="shared" si="2"/>
        <v>х</v>
      </c>
      <c r="AB29" s="27" t="str">
        <f t="shared" si="2"/>
        <v>х</v>
      </c>
      <c r="AC29" s="27" t="str">
        <f t="shared" si="3"/>
        <v>нет</v>
      </c>
      <c r="AD29" s="27" t="str">
        <f t="shared" si="4"/>
        <v>х</v>
      </c>
      <c r="AE29" s="27" t="str">
        <f t="shared" si="4"/>
        <v>х</v>
      </c>
      <c r="AF29" s="27" t="str">
        <f t="shared" si="4"/>
        <v>х</v>
      </c>
      <c r="AG29" s="27" t="str">
        <f t="shared" si="5"/>
        <v>нет</v>
      </c>
      <c r="AH29" s="27" t="str">
        <f t="shared" si="6"/>
        <v>х</v>
      </c>
      <c r="AI29" s="27" t="str">
        <f t="shared" si="6"/>
        <v>х</v>
      </c>
      <c r="AJ29" s="27" t="str">
        <f t="shared" si="6"/>
        <v>х</v>
      </c>
      <c r="AK29" s="28" t="str">
        <f>""</f>
        <v/>
      </c>
      <c r="AL29" s="27" t="str">
        <f>"70,00"</f>
        <v>70,00</v>
      </c>
      <c r="AM29" s="27" t="str">
        <f>"2025-2027"</f>
        <v>2025-2027</v>
      </c>
      <c r="AN29" s="30" t="str">
        <f t="shared" si="24"/>
        <v>нет</v>
      </c>
      <c r="AO29" s="27" t="str">
        <f>""</f>
        <v/>
      </c>
      <c r="AP29" s="27" t="str">
        <f>""</f>
        <v/>
      </c>
      <c r="AQ29" s="27" t="str">
        <f>""</f>
        <v/>
      </c>
      <c r="AR29" s="27" t="str">
        <f t="shared" si="8"/>
        <v>нет</v>
      </c>
      <c r="AS29" s="27" t="str">
        <f>""</f>
        <v/>
      </c>
      <c r="AT29" s="27" t="str">
        <f>""</f>
        <v/>
      </c>
      <c r="AU29" s="27" t="str">
        <f>""</f>
        <v/>
      </c>
      <c r="AV29" s="27" t="str">
        <f>""</f>
        <v/>
      </c>
      <c r="AW29" s="27" t="str">
        <f>"90,00"</f>
        <v>90,00</v>
      </c>
      <c r="AX29" s="27" t="str">
        <f>"2015-2017"</f>
        <v>2015-2017</v>
      </c>
      <c r="AY29" s="27" t="str">
        <f t="shared" si="9"/>
        <v>нет</v>
      </c>
      <c r="AZ29" s="27" t="str">
        <f>""</f>
        <v/>
      </c>
      <c r="BA29" s="27" t="str">
        <f>""</f>
        <v/>
      </c>
      <c r="BB29" s="27" t="str">
        <f>""</f>
        <v/>
      </c>
      <c r="BC29" s="27" t="str">
        <f t="shared" si="10"/>
        <v>нет</v>
      </c>
      <c r="BD29" s="27" t="str">
        <f>""</f>
        <v/>
      </c>
      <c r="BE29" s="27" t="str">
        <f>""</f>
        <v/>
      </c>
      <c r="BF29" s="27" t="str">
        <f>""</f>
        <v/>
      </c>
      <c r="BG29" s="27" t="str">
        <f>""</f>
        <v/>
      </c>
      <c r="BH29" s="27" t="str">
        <f t="shared" si="30"/>
        <v>60,00</v>
      </c>
      <c r="BI29" s="27" t="str">
        <f>"2027-2029"</f>
        <v>2027-2029</v>
      </c>
      <c r="BJ29" s="27" t="str">
        <f t="shared" si="11"/>
        <v>нет</v>
      </c>
      <c r="BK29" s="27" t="str">
        <f t="shared" si="31"/>
        <v>x</v>
      </c>
      <c r="BL29" s="27" t="str">
        <f t="shared" si="22"/>
        <v>x</v>
      </c>
      <c r="BM29" s="27" t="str">
        <f>"2024-2026"</f>
        <v>2024-2026</v>
      </c>
      <c r="BN29" s="27" t="str">
        <f>""</f>
        <v/>
      </c>
      <c r="BO29" s="27" t="str">
        <f>"60,00"</f>
        <v>60,00</v>
      </c>
      <c r="BP29" s="27" t="str">
        <f>"2028-2030"</f>
        <v>2028-2030</v>
      </c>
      <c r="BQ29" s="27" t="str">
        <f>""</f>
        <v/>
      </c>
      <c r="BR29" s="27" t="str">
        <f>"60,00"</f>
        <v>60,00</v>
      </c>
      <c r="BS29" s="27" t="str">
        <f>"2024-2026"</f>
        <v>2024-2026</v>
      </c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</row>
    <row r="30" spans="1:119" s="10" customFormat="1" ht="11.25" customHeight="1">
      <c r="A30" s="24" t="str">
        <f>"1.17"</f>
        <v>1.17</v>
      </c>
      <c r="B30" s="25" t="str">
        <f>"г. Кириллов, ул. Гагарина, д.17"</f>
        <v>г. Кириллов, ул. Гагарина, д.17</v>
      </c>
      <c r="C30" s="26" t="str">
        <f>"1960"</f>
        <v>1960</v>
      </c>
      <c r="D30" s="27" t="str">
        <f>""</f>
        <v/>
      </c>
      <c r="E30" s="27" t="str">
        <f>"80,00"</f>
        <v>80,00</v>
      </c>
      <c r="F30" s="27" t="str">
        <f>"2020-2022"</f>
        <v>2020-2022</v>
      </c>
      <c r="G30" s="27" t="str">
        <f>"нет"</f>
        <v>нет</v>
      </c>
      <c r="H30" s="27" t="str">
        <f>""</f>
        <v/>
      </c>
      <c r="I30" s="27" t="str">
        <f>""</f>
        <v/>
      </c>
      <c r="J30" s="27" t="str">
        <f>""</f>
        <v/>
      </c>
      <c r="K30" s="27" t="str">
        <f t="shared" si="0"/>
        <v>нет</v>
      </c>
      <c r="L30" s="27" t="str">
        <f>""</f>
        <v/>
      </c>
      <c r="M30" s="27" t="str">
        <f>""</f>
        <v/>
      </c>
      <c r="N30" s="27" t="str">
        <f>""</f>
        <v/>
      </c>
      <c r="O30" s="28" t="str">
        <f>""</f>
        <v/>
      </c>
      <c r="P30" s="27" t="str">
        <f>""</f>
        <v/>
      </c>
      <c r="Q30" s="27" t="str">
        <f>""</f>
        <v/>
      </c>
      <c r="R30" s="27" t="str">
        <f t="shared" si="14"/>
        <v>нет</v>
      </c>
      <c r="S30" s="27" t="str">
        <f>""</f>
        <v/>
      </c>
      <c r="T30" s="27" t="str">
        <f>""</f>
        <v/>
      </c>
      <c r="U30" s="27" t="str">
        <f>""</f>
        <v/>
      </c>
      <c r="V30" s="27" t="str">
        <f t="shared" si="1"/>
        <v>нет</v>
      </c>
      <c r="W30" s="27" t="str">
        <f>""</f>
        <v/>
      </c>
      <c r="X30" s="27" t="str">
        <f>""</f>
        <v/>
      </c>
      <c r="Y30" s="29" t="str">
        <f>""</f>
        <v/>
      </c>
      <c r="Z30" s="27" t="str">
        <f t="shared" si="2"/>
        <v>х</v>
      </c>
      <c r="AA30" s="27" t="str">
        <f t="shared" si="2"/>
        <v>х</v>
      </c>
      <c r="AB30" s="27" t="str">
        <f t="shared" si="2"/>
        <v>х</v>
      </c>
      <c r="AC30" s="27" t="str">
        <f t="shared" si="3"/>
        <v>нет</v>
      </c>
      <c r="AD30" s="27" t="str">
        <f t="shared" si="4"/>
        <v>х</v>
      </c>
      <c r="AE30" s="27" t="str">
        <f t="shared" si="4"/>
        <v>х</v>
      </c>
      <c r="AF30" s="27" t="str">
        <f t="shared" si="4"/>
        <v>х</v>
      </c>
      <c r="AG30" s="27" t="str">
        <f t="shared" si="5"/>
        <v>нет</v>
      </c>
      <c r="AH30" s="27" t="str">
        <f t="shared" si="6"/>
        <v>х</v>
      </c>
      <c r="AI30" s="27" t="str">
        <f t="shared" si="6"/>
        <v>х</v>
      </c>
      <c r="AJ30" s="27" t="str">
        <f t="shared" si="6"/>
        <v>х</v>
      </c>
      <c r="AK30" s="28" t="str">
        <f>"х"</f>
        <v>х</v>
      </c>
      <c r="AL30" s="27" t="str">
        <f>"х"</f>
        <v>х</v>
      </c>
      <c r="AM30" s="27" t="str">
        <f>"х"</f>
        <v>х</v>
      </c>
      <c r="AN30" s="30" t="str">
        <f t="shared" si="24"/>
        <v>нет</v>
      </c>
      <c r="AO30" s="27" t="str">
        <f>"х"</f>
        <v>х</v>
      </c>
      <c r="AP30" s="27" t="str">
        <f>"х"</f>
        <v>х</v>
      </c>
      <c r="AQ30" s="27" t="str">
        <f>"х"</f>
        <v>х</v>
      </c>
      <c r="AR30" s="27" t="str">
        <f t="shared" si="8"/>
        <v>нет</v>
      </c>
      <c r="AS30" s="27" t="str">
        <f t="shared" ref="AS30:AX30" si="32">"х"</f>
        <v>х</v>
      </c>
      <c r="AT30" s="27" t="str">
        <f t="shared" si="32"/>
        <v>х</v>
      </c>
      <c r="AU30" s="27" t="str">
        <f t="shared" si="32"/>
        <v>х</v>
      </c>
      <c r="AV30" s="27" t="str">
        <f t="shared" si="32"/>
        <v>х</v>
      </c>
      <c r="AW30" s="27" t="str">
        <f t="shared" si="32"/>
        <v>х</v>
      </c>
      <c r="AX30" s="27" t="str">
        <f t="shared" si="32"/>
        <v>х</v>
      </c>
      <c r="AY30" s="27" t="str">
        <f t="shared" si="9"/>
        <v>нет</v>
      </c>
      <c r="AZ30" s="27" t="str">
        <f>"х"</f>
        <v>х</v>
      </c>
      <c r="BA30" s="27" t="str">
        <f>"х"</f>
        <v>х</v>
      </c>
      <c r="BB30" s="27" t="str">
        <f>"х"</f>
        <v>х</v>
      </c>
      <c r="BC30" s="27" t="str">
        <f t="shared" si="10"/>
        <v>нет</v>
      </c>
      <c r="BD30" s="27" t="str">
        <f>"х"</f>
        <v>х</v>
      </c>
      <c r="BE30" s="27" t="str">
        <f>"х"</f>
        <v>х</v>
      </c>
      <c r="BF30" s="27" t="str">
        <f>"х"</f>
        <v>х</v>
      </c>
      <c r="BG30" s="27" t="str">
        <f>""</f>
        <v/>
      </c>
      <c r="BH30" s="27" t="str">
        <f t="shared" si="30"/>
        <v>60,00</v>
      </c>
      <c r="BI30" s="27" t="str">
        <f>"2015-2017"</f>
        <v>2015-2017</v>
      </c>
      <c r="BJ30" s="27" t="str">
        <f t="shared" si="11"/>
        <v>нет</v>
      </c>
      <c r="BK30" s="27" t="str">
        <f t="shared" si="31"/>
        <v>x</v>
      </c>
      <c r="BL30" s="27" t="str">
        <f t="shared" si="22"/>
        <v>x</v>
      </c>
      <c r="BM30" s="27" t="str">
        <f>"2027-2029"</f>
        <v>2027-2029</v>
      </c>
      <c r="BN30" s="27" t="str">
        <f>""</f>
        <v/>
      </c>
      <c r="BO30" s="27" t="str">
        <f>"60,00"</f>
        <v>60,00</v>
      </c>
      <c r="BP30" s="27" t="str">
        <f>"2021-2023"</f>
        <v>2021-2023</v>
      </c>
      <c r="BQ30" s="27" t="str">
        <f>""</f>
        <v/>
      </c>
      <c r="BR30" s="27" t="str">
        <f>"60,00"</f>
        <v>60,00</v>
      </c>
      <c r="BS30" s="27" t="str">
        <f>"2027-2029"</f>
        <v>2027-2029</v>
      </c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</row>
    <row r="31" spans="1:119" s="10" customFormat="1" ht="11.25" customHeight="1">
      <c r="A31" s="24" t="str">
        <f>"1.18"</f>
        <v>1.18</v>
      </c>
      <c r="B31" s="25" t="str">
        <f>"г. Кириллов, ул. Гагарина, д.83"</f>
        <v>г. Кириллов, ул. Гагарина, д.83</v>
      </c>
      <c r="C31" s="26" t="str">
        <f>"1990"</f>
        <v>1990</v>
      </c>
      <c r="D31" s="27" t="str">
        <f>""</f>
        <v/>
      </c>
      <c r="E31" s="27" t="str">
        <f>"80,00"</f>
        <v>80,00</v>
      </c>
      <c r="F31" s="27" t="str">
        <f>"2033-2035"</f>
        <v>2033-2035</v>
      </c>
      <c r="G31" s="27" t="str">
        <f t="shared" ref="G31:G46" si="33">"да"</f>
        <v>да</v>
      </c>
      <c r="H31" s="27" t="str">
        <f>"2010"</f>
        <v>2010</v>
      </c>
      <c r="I31" s="27" t="str">
        <f>"19,00"</f>
        <v>19,00</v>
      </c>
      <c r="J31" s="27" t="str">
        <f>"2026-2028"</f>
        <v>2026-2028</v>
      </c>
      <c r="K31" s="27" t="str">
        <f t="shared" si="0"/>
        <v>нет</v>
      </c>
      <c r="L31" s="27" t="str">
        <f>""</f>
        <v/>
      </c>
      <c r="M31" s="27" t="str">
        <f>""</f>
        <v/>
      </c>
      <c r="N31" s="27" t="str">
        <f>""</f>
        <v/>
      </c>
      <c r="O31" s="28" t="str">
        <f>""</f>
        <v/>
      </c>
      <c r="P31" s="27" t="str">
        <f>"76,00"</f>
        <v>76,00</v>
      </c>
      <c r="Q31" s="27" t="str">
        <f>"2027-2029"</f>
        <v>2027-2029</v>
      </c>
      <c r="R31" s="27" t="str">
        <f>"да"</f>
        <v>да</v>
      </c>
      <c r="S31" s="27" t="str">
        <f>"2007"</f>
        <v>2007</v>
      </c>
      <c r="T31" s="27" t="str">
        <f>"37,00"</f>
        <v>37,00</v>
      </c>
      <c r="U31" s="27" t="str">
        <f>"2023-2025"</f>
        <v>2023-2025</v>
      </c>
      <c r="V31" s="27" t="str">
        <f t="shared" si="1"/>
        <v>нет</v>
      </c>
      <c r="W31" s="27" t="str">
        <f>""</f>
        <v/>
      </c>
      <c r="X31" s="27" t="str">
        <f>""</f>
        <v/>
      </c>
      <c r="Y31" s="29" t="str">
        <f>""</f>
        <v/>
      </c>
      <c r="Z31" s="27" t="str">
        <f t="shared" si="2"/>
        <v>х</v>
      </c>
      <c r="AA31" s="27" t="str">
        <f t="shared" si="2"/>
        <v>х</v>
      </c>
      <c r="AB31" s="27" t="str">
        <f t="shared" si="2"/>
        <v>х</v>
      </c>
      <c r="AC31" s="27" t="str">
        <f t="shared" si="3"/>
        <v>нет</v>
      </c>
      <c r="AD31" s="27" t="str">
        <f t="shared" si="4"/>
        <v>х</v>
      </c>
      <c r="AE31" s="27" t="str">
        <f t="shared" si="4"/>
        <v>х</v>
      </c>
      <c r="AF31" s="27" t="str">
        <f t="shared" si="4"/>
        <v>х</v>
      </c>
      <c r="AG31" s="27" t="str">
        <f t="shared" si="5"/>
        <v>нет</v>
      </c>
      <c r="AH31" s="27" t="str">
        <f t="shared" si="6"/>
        <v>х</v>
      </c>
      <c r="AI31" s="27" t="str">
        <f t="shared" si="6"/>
        <v>х</v>
      </c>
      <c r="AJ31" s="27" t="str">
        <f t="shared" si="6"/>
        <v>х</v>
      </c>
      <c r="AK31" s="28" t="str">
        <f>""</f>
        <v/>
      </c>
      <c r="AL31" s="27" t="str">
        <f>"90,00"</f>
        <v>90,00</v>
      </c>
      <c r="AM31" s="27" t="str">
        <f>"2020-2022"</f>
        <v>2020-2022</v>
      </c>
      <c r="AN31" s="30" t="str">
        <f t="shared" si="24"/>
        <v>нет</v>
      </c>
      <c r="AO31" s="27" t="str">
        <f>""</f>
        <v/>
      </c>
      <c r="AP31" s="27" t="str">
        <f>""</f>
        <v/>
      </c>
      <c r="AQ31" s="27" t="str">
        <f>""</f>
        <v/>
      </c>
      <c r="AR31" s="27" t="str">
        <f t="shared" si="8"/>
        <v>нет</v>
      </c>
      <c r="AS31" s="27" t="str">
        <f>""</f>
        <v/>
      </c>
      <c r="AT31" s="27" t="str">
        <f>""</f>
        <v/>
      </c>
      <c r="AU31" s="27" t="str">
        <f>""</f>
        <v/>
      </c>
      <c r="AV31" s="27" t="str">
        <f>""</f>
        <v/>
      </c>
      <c r="AW31" s="27" t="str">
        <f>"70,00"</f>
        <v>70,00</v>
      </c>
      <c r="AX31" s="27" t="str">
        <f>"2030-2032"</f>
        <v>2030-2032</v>
      </c>
      <c r="AY31" s="27" t="str">
        <f t="shared" si="9"/>
        <v>нет</v>
      </c>
      <c r="AZ31" s="27" t="str">
        <f>""</f>
        <v/>
      </c>
      <c r="BA31" s="27" t="str">
        <f>""</f>
        <v/>
      </c>
      <c r="BB31" s="27" t="str">
        <f>""</f>
        <v/>
      </c>
      <c r="BC31" s="27" t="str">
        <f t="shared" si="10"/>
        <v>нет</v>
      </c>
      <c r="BD31" s="27" t="str">
        <f>""</f>
        <v/>
      </c>
      <c r="BE31" s="27" t="str">
        <f>""</f>
        <v/>
      </c>
      <c r="BF31" s="27" t="str">
        <f>""</f>
        <v/>
      </c>
      <c r="BG31" s="27" t="str">
        <f>""</f>
        <v/>
      </c>
      <c r="BH31" s="27" t="str">
        <f t="shared" si="30"/>
        <v>60,00</v>
      </c>
      <c r="BI31" s="27" t="str">
        <f>"2023-2025"</f>
        <v>2023-2025</v>
      </c>
      <c r="BJ31" s="27" t="str">
        <f t="shared" si="11"/>
        <v>нет</v>
      </c>
      <c r="BK31" s="27" t="str">
        <f t="shared" si="31"/>
        <v>x</v>
      </c>
      <c r="BL31" s="27" t="str">
        <f t="shared" si="22"/>
        <v>x</v>
      </c>
      <c r="BM31" s="27" t="str">
        <f>"2031-2033"</f>
        <v>2031-2033</v>
      </c>
      <c r="BN31" s="27" t="str">
        <f>""</f>
        <v/>
      </c>
      <c r="BO31" s="27" t="str">
        <f>"30,00"</f>
        <v>30,00</v>
      </c>
      <c r="BP31" s="27" t="str">
        <f>"2031-2033"</f>
        <v>2031-2033</v>
      </c>
      <c r="BQ31" s="27" t="str">
        <f>""</f>
        <v/>
      </c>
      <c r="BR31" s="27" t="str">
        <f>"30,00"</f>
        <v>30,00</v>
      </c>
      <c r="BS31" s="27" t="str">
        <f>"2031-2033"</f>
        <v>2031-2033</v>
      </c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</row>
    <row r="32" spans="1:119" s="9" customFormat="1" ht="11.25" customHeight="1">
      <c r="A32" s="24" t="str">
        <f>"1.19"</f>
        <v>1.19</v>
      </c>
      <c r="B32" s="25" t="str">
        <f>"г. Кириллов, ул. Горького, д.1"</f>
        <v>г. Кириллов, ул. Горького, д.1</v>
      </c>
      <c r="C32" s="26" t="str">
        <f>"1973"</f>
        <v>1973</v>
      </c>
      <c r="D32" s="27" t="str">
        <f>""</f>
        <v/>
      </c>
      <c r="E32" s="27" t="str">
        <f>"80,00"</f>
        <v>80,00</v>
      </c>
      <c r="F32" s="27" t="str">
        <f>"2025-2027"</f>
        <v>2025-2027</v>
      </c>
      <c r="G32" s="27" t="str">
        <f t="shared" si="33"/>
        <v>да</v>
      </c>
      <c r="H32" s="27" t="str">
        <f>"2010"</f>
        <v>2010</v>
      </c>
      <c r="I32" s="27" t="str">
        <f>"19,00"</f>
        <v>19,00</v>
      </c>
      <c r="J32" s="27" t="str">
        <f>"2026-2028"</f>
        <v>2026-2028</v>
      </c>
      <c r="K32" s="27" t="str">
        <f t="shared" si="0"/>
        <v>нет</v>
      </c>
      <c r="L32" s="27" t="str">
        <f>""</f>
        <v/>
      </c>
      <c r="M32" s="27" t="str">
        <f>""</f>
        <v/>
      </c>
      <c r="N32" s="27" t="str">
        <f>""</f>
        <v/>
      </c>
      <c r="O32" s="28" t="str">
        <f>""</f>
        <v/>
      </c>
      <c r="P32" s="27" t="str">
        <f>"80,00"</f>
        <v>80,00</v>
      </c>
      <c r="Q32" s="27" t="str">
        <f>"2016-2018"</f>
        <v>2016-2018</v>
      </c>
      <c r="R32" s="27" t="str">
        <f>"да"</f>
        <v>да</v>
      </c>
      <c r="S32" s="27" t="str">
        <f>"2012"</f>
        <v>2012</v>
      </c>
      <c r="T32" s="27" t="str">
        <f>"6,00"</f>
        <v>6,00</v>
      </c>
      <c r="U32" s="27" t="str">
        <f>"2028-2030"</f>
        <v>2028-2030</v>
      </c>
      <c r="V32" s="27" t="str">
        <f t="shared" si="1"/>
        <v>нет</v>
      </c>
      <c r="W32" s="27" t="str">
        <f>""</f>
        <v/>
      </c>
      <c r="X32" s="27" t="str">
        <f>""</f>
        <v/>
      </c>
      <c r="Y32" s="29" t="str">
        <f>""</f>
        <v/>
      </c>
      <c r="Z32" s="27" t="str">
        <f t="shared" ref="Z32:Z64" si="34">"х"</f>
        <v>х</v>
      </c>
      <c r="AA32" s="27" t="str">
        <f>"80,00"</f>
        <v>80,00</v>
      </c>
      <c r="AB32" s="27" t="str">
        <f>"2018-2020"</f>
        <v>2018-2020</v>
      </c>
      <c r="AC32" s="27" t="str">
        <f t="shared" si="3"/>
        <v>нет</v>
      </c>
      <c r="AD32" s="27" t="str">
        <f t="shared" si="4"/>
        <v>х</v>
      </c>
      <c r="AE32" s="27" t="str">
        <f t="shared" si="4"/>
        <v>х</v>
      </c>
      <c r="AF32" s="27" t="str">
        <f t="shared" si="4"/>
        <v>х</v>
      </c>
      <c r="AG32" s="27" t="str">
        <f t="shared" si="5"/>
        <v>нет</v>
      </c>
      <c r="AH32" s="27" t="str">
        <f t="shared" si="6"/>
        <v>х</v>
      </c>
      <c r="AI32" s="27" t="str">
        <f t="shared" si="6"/>
        <v>х</v>
      </c>
      <c r="AJ32" s="27" t="str">
        <f t="shared" si="6"/>
        <v>х</v>
      </c>
      <c r="AK32" s="28" t="str">
        <f>""</f>
        <v/>
      </c>
      <c r="AL32" s="27" t="str">
        <f>"80,00"</f>
        <v>80,00</v>
      </c>
      <c r="AM32" s="27" t="str">
        <f>"2023-2025"</f>
        <v>2023-2025</v>
      </c>
      <c r="AN32" s="30">
        <v>2015</v>
      </c>
      <c r="AO32" s="27" t="str">
        <f>""</f>
        <v/>
      </c>
      <c r="AP32" s="27" t="str">
        <f>""</f>
        <v/>
      </c>
      <c r="AQ32" s="27">
        <v>2030</v>
      </c>
      <c r="AR32" s="27" t="str">
        <f t="shared" si="8"/>
        <v>нет</v>
      </c>
      <c r="AS32" s="27" t="str">
        <f>""</f>
        <v/>
      </c>
      <c r="AT32" s="27" t="str">
        <f>""</f>
        <v/>
      </c>
      <c r="AU32" s="27" t="str">
        <f>""</f>
        <v/>
      </c>
      <c r="AV32" s="27" t="str">
        <f>"2006"</f>
        <v>2006</v>
      </c>
      <c r="AW32" s="27" t="str">
        <f>"28,00"</f>
        <v>28,00</v>
      </c>
      <c r="AX32" s="27" t="str">
        <f>"2045-2047"</f>
        <v>2045-2047</v>
      </c>
      <c r="AY32" s="27" t="str">
        <f t="shared" si="9"/>
        <v>нет</v>
      </c>
      <c r="AZ32" s="27" t="str">
        <f>""</f>
        <v/>
      </c>
      <c r="BA32" s="27" t="str">
        <f>""</f>
        <v/>
      </c>
      <c r="BB32" s="27" t="str">
        <f>""</f>
        <v/>
      </c>
      <c r="BC32" s="27" t="str">
        <f t="shared" si="10"/>
        <v>нет</v>
      </c>
      <c r="BD32" s="27" t="str">
        <f>""</f>
        <v/>
      </c>
      <c r="BE32" s="27" t="str">
        <f>""</f>
        <v/>
      </c>
      <c r="BF32" s="27" t="str">
        <f>""</f>
        <v/>
      </c>
      <c r="BG32" s="27" t="str">
        <f>""</f>
        <v/>
      </c>
      <c r="BH32" s="27" t="str">
        <f t="shared" si="30"/>
        <v>60,00</v>
      </c>
      <c r="BI32" s="27" t="str">
        <f>"2017-2019"</f>
        <v>2017-2019</v>
      </c>
      <c r="BJ32" s="27" t="str">
        <f t="shared" si="11"/>
        <v>нет</v>
      </c>
      <c r="BK32" s="27" t="str">
        <f t="shared" si="31"/>
        <v>x</v>
      </c>
      <c r="BL32" s="27" t="str">
        <f>"60,00"</f>
        <v>60,00</v>
      </c>
      <c r="BM32" s="27" t="str">
        <f>"2027-2029"</f>
        <v>2027-2029</v>
      </c>
      <c r="BN32" s="27" t="str">
        <f>""</f>
        <v/>
      </c>
      <c r="BO32" s="27" t="str">
        <f>"60,00"</f>
        <v>60,00</v>
      </c>
      <c r="BP32" s="27" t="str">
        <f>"2030-2032"</f>
        <v>2030-2032</v>
      </c>
      <c r="BQ32" s="27" t="str">
        <f>""</f>
        <v/>
      </c>
      <c r="BR32" s="27" t="str">
        <f>"60,00"</f>
        <v>60,00</v>
      </c>
      <c r="BS32" s="27" t="str">
        <f>"2027-2029"</f>
        <v>2027-2029</v>
      </c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</row>
    <row r="33" spans="1:119" s="10" customFormat="1" ht="11.25" customHeight="1">
      <c r="A33" s="24" t="str">
        <f>"1.20"</f>
        <v>1.20</v>
      </c>
      <c r="B33" s="25" t="str">
        <f>"г. Кириллов, ул. Гостинодворская, д.3"</f>
        <v>г. Кириллов, ул. Гостинодворская, д.3</v>
      </c>
      <c r="C33" s="26" t="str">
        <f>"2003"</f>
        <v>2003</v>
      </c>
      <c r="D33" s="27" t="str">
        <f>""</f>
        <v/>
      </c>
      <c r="E33" s="27" t="str">
        <f>"50,00"</f>
        <v>50,00</v>
      </c>
      <c r="F33" s="27" t="str">
        <f>"2034-2036"</f>
        <v>2034-2036</v>
      </c>
      <c r="G33" s="27" t="str">
        <f t="shared" si="33"/>
        <v>да</v>
      </c>
      <c r="H33" s="27" t="str">
        <f>"2010"</f>
        <v>2010</v>
      </c>
      <c r="I33" s="27" t="str">
        <f>"19,00"</f>
        <v>19,00</v>
      </c>
      <c r="J33" s="27" t="str">
        <f>"2026-2028"</f>
        <v>2026-2028</v>
      </c>
      <c r="K33" s="27" t="str">
        <f t="shared" si="0"/>
        <v>нет</v>
      </c>
      <c r="L33" s="27" t="str">
        <f>""</f>
        <v/>
      </c>
      <c r="M33" s="27" t="str">
        <f>""</f>
        <v/>
      </c>
      <c r="N33" s="27" t="str">
        <f>""</f>
        <v/>
      </c>
      <c r="O33" s="28" t="str">
        <f>""</f>
        <v/>
      </c>
      <c r="P33" s="27" t="str">
        <f>""</f>
        <v/>
      </c>
      <c r="Q33" s="27" t="str">
        <f>""</f>
        <v/>
      </c>
      <c r="R33" s="27" t="str">
        <f>"нет"</f>
        <v>нет</v>
      </c>
      <c r="S33" s="27" t="str">
        <f>""</f>
        <v/>
      </c>
      <c r="T33" s="27" t="str">
        <f>""</f>
        <v/>
      </c>
      <c r="U33" s="27" t="str">
        <f>""</f>
        <v/>
      </c>
      <c r="V33" s="27" t="str">
        <f t="shared" si="1"/>
        <v>нет</v>
      </c>
      <c r="W33" s="27" t="str">
        <f>""</f>
        <v/>
      </c>
      <c r="X33" s="27" t="str">
        <f>""</f>
        <v/>
      </c>
      <c r="Y33" s="29" t="str">
        <f>""</f>
        <v/>
      </c>
      <c r="Z33" s="27" t="str">
        <f t="shared" si="34"/>
        <v>х</v>
      </c>
      <c r="AA33" s="27" t="str">
        <f t="shared" ref="AA33:AB36" si="35">"х"</f>
        <v>х</v>
      </c>
      <c r="AB33" s="27" t="str">
        <f t="shared" si="35"/>
        <v>х</v>
      </c>
      <c r="AC33" s="27" t="str">
        <f t="shared" si="3"/>
        <v>нет</v>
      </c>
      <c r="AD33" s="27" t="str">
        <f t="shared" si="4"/>
        <v>х</v>
      </c>
      <c r="AE33" s="27" t="str">
        <f t="shared" si="4"/>
        <v>х</v>
      </c>
      <c r="AF33" s="27" t="str">
        <f t="shared" si="4"/>
        <v>х</v>
      </c>
      <c r="AG33" s="27" t="str">
        <f t="shared" si="5"/>
        <v>нет</v>
      </c>
      <c r="AH33" s="27" t="str">
        <f t="shared" si="6"/>
        <v>х</v>
      </c>
      <c r="AI33" s="27" t="str">
        <f t="shared" si="6"/>
        <v>х</v>
      </c>
      <c r="AJ33" s="27" t="str">
        <f t="shared" si="6"/>
        <v>х</v>
      </c>
      <c r="AK33" s="28" t="str">
        <f>""</f>
        <v/>
      </c>
      <c r="AL33" s="27" t="str">
        <f>"50,00"</f>
        <v>50,00</v>
      </c>
      <c r="AM33" s="27" t="str">
        <f>"2033-2035"</f>
        <v>2033-2035</v>
      </c>
      <c r="AN33" s="30" t="str">
        <f t="shared" si="24"/>
        <v>нет</v>
      </c>
      <c r="AO33" s="27" t="str">
        <f>""</f>
        <v/>
      </c>
      <c r="AP33" s="27" t="str">
        <f>""</f>
        <v/>
      </c>
      <c r="AQ33" s="27" t="str">
        <f>""</f>
        <v/>
      </c>
      <c r="AR33" s="27" t="str">
        <f t="shared" si="8"/>
        <v>нет</v>
      </c>
      <c r="AS33" s="27" t="str">
        <f>""</f>
        <v/>
      </c>
      <c r="AT33" s="27" t="str">
        <f>""</f>
        <v/>
      </c>
      <c r="AU33" s="27" t="str">
        <f>""</f>
        <v/>
      </c>
      <c r="AV33" s="27" t="str">
        <f>""</f>
        <v/>
      </c>
      <c r="AW33" s="27" t="str">
        <f>"40,00"</f>
        <v>40,00</v>
      </c>
      <c r="AX33" s="27" t="str">
        <f>"2043-2045"</f>
        <v>2043-2045</v>
      </c>
      <c r="AY33" s="27" t="str">
        <f t="shared" si="9"/>
        <v>нет</v>
      </c>
      <c r="AZ33" s="27" t="str">
        <f>""</f>
        <v/>
      </c>
      <c r="BA33" s="27" t="str">
        <f>""</f>
        <v/>
      </c>
      <c r="BB33" s="27" t="str">
        <f>""</f>
        <v/>
      </c>
      <c r="BC33" s="27" t="str">
        <f t="shared" si="10"/>
        <v>нет</v>
      </c>
      <c r="BD33" s="27" t="str">
        <f>""</f>
        <v/>
      </c>
      <c r="BE33" s="27" t="str">
        <f>""</f>
        <v/>
      </c>
      <c r="BF33" s="27" t="str">
        <f>""</f>
        <v/>
      </c>
      <c r="BG33" s="27" t="str">
        <f>""</f>
        <v/>
      </c>
      <c r="BH33" s="27" t="str">
        <f>"25,00"</f>
        <v>25,00</v>
      </c>
      <c r="BI33" s="27" t="str">
        <f>"2029-2031"</f>
        <v>2029-2031</v>
      </c>
      <c r="BJ33" s="27" t="str">
        <f t="shared" si="11"/>
        <v>нет</v>
      </c>
      <c r="BK33" s="27" t="str">
        <f t="shared" si="31"/>
        <v>x</v>
      </c>
      <c r="BL33" s="27" t="str">
        <f>"20,00"</f>
        <v>20,00</v>
      </c>
      <c r="BM33" s="27" t="str">
        <f>"2043-2045"</f>
        <v>2043-2045</v>
      </c>
      <c r="BN33" s="27" t="str">
        <f>""</f>
        <v/>
      </c>
      <c r="BO33" s="27" t="str">
        <f>"25,00"</f>
        <v>25,00</v>
      </c>
      <c r="BP33" s="27" t="str">
        <f>"2033-2035"</f>
        <v>2033-2035</v>
      </c>
      <c r="BQ33" s="27" t="str">
        <f>""</f>
        <v/>
      </c>
      <c r="BR33" s="27" t="str">
        <f>"20,00"</f>
        <v>20,00</v>
      </c>
      <c r="BS33" s="27" t="str">
        <f>"2043-2045"</f>
        <v>2043-2045</v>
      </c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</row>
    <row r="34" spans="1:119" s="10" customFormat="1" ht="11.25" customHeight="1">
      <c r="A34" s="24" t="str">
        <f>"1.21"</f>
        <v>1.21</v>
      </c>
      <c r="B34" s="25" t="str">
        <f>"г. Кириллов, ул. Гостинодворская, д.5"</f>
        <v>г. Кириллов, ул. Гостинодворская, д.5</v>
      </c>
      <c r="C34" s="26" t="str">
        <f>"1995"</f>
        <v>1995</v>
      </c>
      <c r="D34" s="27" t="str">
        <f>""</f>
        <v/>
      </c>
      <c r="E34" s="27" t="str">
        <f>"70,00"</f>
        <v>70,00</v>
      </c>
      <c r="F34" s="27" t="str">
        <f>"2033-2035"</f>
        <v>2033-2035</v>
      </c>
      <c r="G34" s="27" t="str">
        <f t="shared" si="33"/>
        <v>да</v>
      </c>
      <c r="H34" s="27" t="str">
        <f>"2011"</f>
        <v>2011</v>
      </c>
      <c r="I34" s="27" t="str">
        <f>"13,00"</f>
        <v>13,00</v>
      </c>
      <c r="J34" s="27" t="str">
        <f>"2027-2029"</f>
        <v>2027-2029</v>
      </c>
      <c r="K34" s="27" t="str">
        <f t="shared" si="0"/>
        <v>нет</v>
      </c>
      <c r="L34" s="27" t="str">
        <f>""</f>
        <v/>
      </c>
      <c r="M34" s="27" t="str">
        <f>""</f>
        <v/>
      </c>
      <c r="N34" s="27" t="str">
        <f>""</f>
        <v/>
      </c>
      <c r="O34" s="28" t="str">
        <f>""</f>
        <v/>
      </c>
      <c r="P34" s="27" t="str">
        <f>""</f>
        <v/>
      </c>
      <c r="Q34" s="27" t="str">
        <f>""</f>
        <v/>
      </c>
      <c r="R34" s="27" t="str">
        <f>"нет"</f>
        <v>нет</v>
      </c>
      <c r="S34" s="27" t="str">
        <f>""</f>
        <v/>
      </c>
      <c r="T34" s="27" t="str">
        <f>""</f>
        <v/>
      </c>
      <c r="U34" s="27" t="str">
        <f>""</f>
        <v/>
      </c>
      <c r="V34" s="27" t="str">
        <f t="shared" si="1"/>
        <v>нет</v>
      </c>
      <c r="W34" s="27" t="str">
        <f>""</f>
        <v/>
      </c>
      <c r="X34" s="27" t="str">
        <f>""</f>
        <v/>
      </c>
      <c r="Y34" s="29" t="str">
        <f>""</f>
        <v/>
      </c>
      <c r="Z34" s="27" t="str">
        <f t="shared" si="34"/>
        <v>х</v>
      </c>
      <c r="AA34" s="27" t="str">
        <f t="shared" si="35"/>
        <v>х</v>
      </c>
      <c r="AB34" s="27" t="str">
        <f t="shared" si="35"/>
        <v>х</v>
      </c>
      <c r="AC34" s="27" t="str">
        <f t="shared" si="3"/>
        <v>нет</v>
      </c>
      <c r="AD34" s="27" t="str">
        <f t="shared" ref="AD34:AF53" si="36">"х"</f>
        <v>х</v>
      </c>
      <c r="AE34" s="27" t="str">
        <f t="shared" si="36"/>
        <v>х</v>
      </c>
      <c r="AF34" s="27" t="str">
        <f t="shared" si="36"/>
        <v>х</v>
      </c>
      <c r="AG34" s="27" t="str">
        <f t="shared" si="5"/>
        <v>нет</v>
      </c>
      <c r="AH34" s="27" t="str">
        <f t="shared" ref="AH34:AJ53" si="37">"х"</f>
        <v>х</v>
      </c>
      <c r="AI34" s="27" t="str">
        <f t="shared" si="37"/>
        <v>х</v>
      </c>
      <c r="AJ34" s="27" t="str">
        <f t="shared" si="37"/>
        <v>х</v>
      </c>
      <c r="AK34" s="28" t="str">
        <f>"2006"</f>
        <v>2006</v>
      </c>
      <c r="AL34" s="27" t="str">
        <f>"30,00"</f>
        <v>30,00</v>
      </c>
      <c r="AM34" s="27" t="str">
        <f>"2036-2038"</f>
        <v>2036-2038</v>
      </c>
      <c r="AN34" s="30" t="str">
        <f t="shared" si="24"/>
        <v>нет</v>
      </c>
      <c r="AO34" s="27" t="str">
        <f>""</f>
        <v/>
      </c>
      <c r="AP34" s="27" t="str">
        <f>""</f>
        <v/>
      </c>
      <c r="AQ34" s="27" t="str">
        <f>""</f>
        <v/>
      </c>
      <c r="AR34" s="27" t="str">
        <f t="shared" si="8"/>
        <v>нет</v>
      </c>
      <c r="AS34" s="27" t="str">
        <f>""</f>
        <v/>
      </c>
      <c r="AT34" s="27" t="str">
        <f>""</f>
        <v/>
      </c>
      <c r="AU34" s="27" t="str">
        <f>""</f>
        <v/>
      </c>
      <c r="AV34" s="27" t="str">
        <f>"2006"</f>
        <v>2006</v>
      </c>
      <c r="AW34" s="27" t="str">
        <f>"28,00"</f>
        <v>28,00</v>
      </c>
      <c r="AX34" s="27" t="str">
        <f>"2045-2047"</f>
        <v>2045-2047</v>
      </c>
      <c r="AY34" s="27" t="str">
        <f t="shared" si="9"/>
        <v>нет</v>
      </c>
      <c r="AZ34" s="27" t="str">
        <f>""</f>
        <v/>
      </c>
      <c r="BA34" s="27" t="str">
        <f>""</f>
        <v/>
      </c>
      <c r="BB34" s="27" t="str">
        <f>""</f>
        <v/>
      </c>
      <c r="BC34" s="27" t="str">
        <f t="shared" si="10"/>
        <v>нет</v>
      </c>
      <c r="BD34" s="27" t="str">
        <f>""</f>
        <v/>
      </c>
      <c r="BE34" s="27" t="str">
        <f>""</f>
        <v/>
      </c>
      <c r="BF34" s="27" t="str">
        <f>""</f>
        <v/>
      </c>
      <c r="BG34" s="27" t="str">
        <f>""</f>
        <v/>
      </c>
      <c r="BH34" s="27" t="str">
        <f>"45,00"</f>
        <v>45,00</v>
      </c>
      <c r="BI34" s="27" t="str">
        <f>"2024-2026"</f>
        <v>2024-2026</v>
      </c>
      <c r="BJ34" s="27" t="str">
        <f t="shared" si="11"/>
        <v>нет</v>
      </c>
      <c r="BK34" s="27" t="str">
        <f t="shared" si="31"/>
        <v>x</v>
      </c>
      <c r="BL34" s="27" t="str">
        <f>"36,00"</f>
        <v>36,00</v>
      </c>
      <c r="BM34" s="27" t="str">
        <f>"2035-2037"</f>
        <v>2035-2037</v>
      </c>
      <c r="BN34" s="27" t="str">
        <f>""</f>
        <v/>
      </c>
      <c r="BO34" s="27" t="str">
        <f>"45,00"</f>
        <v>45,00</v>
      </c>
      <c r="BP34" s="27" t="str">
        <f>"2025-2027"</f>
        <v>2025-2027</v>
      </c>
      <c r="BQ34" s="27" t="str">
        <f>""</f>
        <v/>
      </c>
      <c r="BR34" s="27" t="str">
        <f>"36,00"</f>
        <v>36,00</v>
      </c>
      <c r="BS34" s="27" t="str">
        <f>"2035-2037"</f>
        <v>2035-2037</v>
      </c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  <c r="DB34" s="11"/>
      <c r="DC34" s="11"/>
      <c r="DD34" s="11"/>
      <c r="DE34" s="11"/>
      <c r="DF34" s="11"/>
      <c r="DG34" s="11"/>
      <c r="DH34" s="11"/>
      <c r="DI34" s="11"/>
      <c r="DJ34" s="11"/>
      <c r="DK34" s="11"/>
      <c r="DL34" s="11"/>
      <c r="DM34" s="11"/>
      <c r="DN34" s="11"/>
      <c r="DO34" s="11"/>
    </row>
    <row r="35" spans="1:119" s="10" customFormat="1" ht="11.25" customHeight="1">
      <c r="A35" s="24" t="str">
        <f>"1.22"</f>
        <v>1.22</v>
      </c>
      <c r="B35" s="25" t="str">
        <f>"г. Кириллов, ул. Граве, д.13"</f>
        <v>г. Кириллов, ул. Граве, д.13</v>
      </c>
      <c r="C35" s="26" t="str">
        <f>"1968"</f>
        <v>1968</v>
      </c>
      <c r="D35" s="27" t="str">
        <f>"2012"</f>
        <v>2012</v>
      </c>
      <c r="E35" s="27" t="str">
        <f>"4,00"</f>
        <v>4,00</v>
      </c>
      <c r="F35" s="27" t="str">
        <f>"2032-2034"</f>
        <v>2032-2034</v>
      </c>
      <c r="G35" s="27" t="str">
        <f t="shared" si="33"/>
        <v>да</v>
      </c>
      <c r="H35" s="27" t="str">
        <f>"2011"</f>
        <v>2011</v>
      </c>
      <c r="I35" s="27" t="str">
        <f>"13,00"</f>
        <v>13,00</v>
      </c>
      <c r="J35" s="27" t="str">
        <f>"2027-2029"</f>
        <v>2027-2029</v>
      </c>
      <c r="K35" s="27" t="str">
        <f t="shared" si="0"/>
        <v>нет</v>
      </c>
      <c r="L35" s="27" t="str">
        <f>""</f>
        <v/>
      </c>
      <c r="M35" s="27" t="str">
        <f>""</f>
        <v/>
      </c>
      <c r="N35" s="27" t="str">
        <f>""</f>
        <v/>
      </c>
      <c r="O35" s="28" t="str">
        <f>""</f>
        <v/>
      </c>
      <c r="P35" s="27" t="str">
        <f>"90,00"</f>
        <v>90,00</v>
      </c>
      <c r="Q35" s="27" t="str">
        <f>"2016-2018"</f>
        <v>2016-2018</v>
      </c>
      <c r="R35" s="27" t="str">
        <f>"нет"</f>
        <v>нет</v>
      </c>
      <c r="S35" s="27" t="str">
        <f>""</f>
        <v/>
      </c>
      <c r="T35" s="27" t="str">
        <f>""</f>
        <v/>
      </c>
      <c r="U35" s="27" t="str">
        <f>""</f>
        <v/>
      </c>
      <c r="V35" s="27" t="str">
        <f t="shared" si="1"/>
        <v>нет</v>
      </c>
      <c r="W35" s="27" t="str">
        <f>""</f>
        <v/>
      </c>
      <c r="X35" s="27" t="str">
        <f>""</f>
        <v/>
      </c>
      <c r="Y35" s="29" t="str">
        <f>""</f>
        <v/>
      </c>
      <c r="Z35" s="27" t="str">
        <f t="shared" si="34"/>
        <v>х</v>
      </c>
      <c r="AA35" s="27" t="str">
        <f t="shared" si="35"/>
        <v>х</v>
      </c>
      <c r="AB35" s="27" t="str">
        <f t="shared" si="35"/>
        <v>х</v>
      </c>
      <c r="AC35" s="27" t="str">
        <f t="shared" si="3"/>
        <v>нет</v>
      </c>
      <c r="AD35" s="27" t="str">
        <f t="shared" si="36"/>
        <v>х</v>
      </c>
      <c r="AE35" s="27" t="str">
        <f t="shared" si="36"/>
        <v>х</v>
      </c>
      <c r="AF35" s="27" t="str">
        <f t="shared" si="36"/>
        <v>х</v>
      </c>
      <c r="AG35" s="27" t="str">
        <f t="shared" si="5"/>
        <v>нет</v>
      </c>
      <c r="AH35" s="27" t="str">
        <f t="shared" si="37"/>
        <v>х</v>
      </c>
      <c r="AI35" s="27" t="str">
        <f t="shared" si="37"/>
        <v>х</v>
      </c>
      <c r="AJ35" s="27" t="str">
        <f t="shared" si="37"/>
        <v>х</v>
      </c>
      <c r="AK35" s="28" t="str">
        <f>""</f>
        <v/>
      </c>
      <c r="AL35" s="27" t="str">
        <f>"90,00"</f>
        <v>90,00</v>
      </c>
      <c r="AM35" s="27" t="str">
        <f>"2025-2027"</f>
        <v>2025-2027</v>
      </c>
      <c r="AN35" s="30" t="str">
        <f t="shared" si="24"/>
        <v>нет</v>
      </c>
      <c r="AO35" s="27" t="str">
        <f>""</f>
        <v/>
      </c>
      <c r="AP35" s="27" t="str">
        <f>""</f>
        <v/>
      </c>
      <c r="AQ35" s="27" t="str">
        <f>""</f>
        <v/>
      </c>
      <c r="AR35" s="27" t="str">
        <f t="shared" si="8"/>
        <v>нет</v>
      </c>
      <c r="AS35" s="27" t="str">
        <f>""</f>
        <v/>
      </c>
      <c r="AT35" s="27" t="str">
        <f>""</f>
        <v/>
      </c>
      <c r="AU35" s="27" t="str">
        <f>""</f>
        <v/>
      </c>
      <c r="AV35" s="27" t="str">
        <f>""</f>
        <v/>
      </c>
      <c r="AW35" s="27" t="str">
        <f>"90,00"</f>
        <v>90,00</v>
      </c>
      <c r="AX35" s="27" t="str">
        <f>"2025-2027"</f>
        <v>2025-2027</v>
      </c>
      <c r="AY35" s="27" t="str">
        <f t="shared" si="9"/>
        <v>нет</v>
      </c>
      <c r="AZ35" s="27" t="str">
        <f>""</f>
        <v/>
      </c>
      <c r="BA35" s="27" t="str">
        <f>""</f>
        <v/>
      </c>
      <c r="BB35" s="27" t="str">
        <f>""</f>
        <v/>
      </c>
      <c r="BC35" s="27" t="str">
        <f t="shared" si="10"/>
        <v>нет</v>
      </c>
      <c r="BD35" s="27" t="str">
        <f>""</f>
        <v/>
      </c>
      <c r="BE35" s="27" t="str">
        <f>""</f>
        <v/>
      </c>
      <c r="BF35" s="27" t="str">
        <f>""</f>
        <v/>
      </c>
      <c r="BG35" s="27" t="str">
        <f>""</f>
        <v/>
      </c>
      <c r="BH35" s="27" t="str">
        <f>"60,00"</f>
        <v>60,00</v>
      </c>
      <c r="BI35" s="27" t="str">
        <f>"2016-2018"</f>
        <v>2016-2018</v>
      </c>
      <c r="BJ35" s="27" t="str">
        <f t="shared" si="11"/>
        <v>нет</v>
      </c>
      <c r="BK35" s="27" t="str">
        <f t="shared" si="31"/>
        <v>x</v>
      </c>
      <c r="BL35" s="27" t="str">
        <f>"60,00"</f>
        <v>60,00</v>
      </c>
      <c r="BM35" s="27" t="str">
        <f>"2026-2028"</f>
        <v>2026-2028</v>
      </c>
      <c r="BN35" s="27" t="str">
        <f>""</f>
        <v/>
      </c>
      <c r="BO35" s="27" t="str">
        <f>"60,00"</f>
        <v>60,00</v>
      </c>
      <c r="BP35" s="27" t="str">
        <f>"2028-2030"</f>
        <v>2028-2030</v>
      </c>
      <c r="BQ35" s="27" t="str">
        <f>""</f>
        <v/>
      </c>
      <c r="BR35" s="27" t="str">
        <f>"60,00"</f>
        <v>60,00</v>
      </c>
      <c r="BS35" s="27" t="str">
        <f>"2026-2028"</f>
        <v>2026-2028</v>
      </c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  <c r="DB35" s="11"/>
      <c r="DC35" s="11"/>
      <c r="DD35" s="11"/>
      <c r="DE35" s="11"/>
      <c r="DF35" s="11"/>
      <c r="DG35" s="11"/>
      <c r="DH35" s="11"/>
      <c r="DI35" s="11"/>
      <c r="DJ35" s="11"/>
      <c r="DK35" s="11"/>
      <c r="DL35" s="11"/>
      <c r="DM35" s="11"/>
      <c r="DN35" s="11"/>
      <c r="DO35" s="11"/>
    </row>
    <row r="36" spans="1:119" s="10" customFormat="1" ht="11.25" customHeight="1">
      <c r="A36" s="24" t="str">
        <f>"1.23"</f>
        <v>1.23</v>
      </c>
      <c r="B36" s="25" t="str">
        <f>"г. Кириллов, ул. Дзержинского, д.12"</f>
        <v>г. Кириллов, ул. Дзержинского, д.12</v>
      </c>
      <c r="C36" s="26" t="str">
        <f>"1996"</f>
        <v>1996</v>
      </c>
      <c r="D36" s="27" t="str">
        <f>""</f>
        <v/>
      </c>
      <c r="E36" s="27" t="str">
        <f>"85,00"</f>
        <v>85,00</v>
      </c>
      <c r="F36" s="27" t="str">
        <f>"2021-2023"</f>
        <v>2021-2023</v>
      </c>
      <c r="G36" s="27" t="str">
        <f t="shared" si="33"/>
        <v>да</v>
      </c>
      <c r="H36" s="27" t="str">
        <f>"2009"</f>
        <v>2009</v>
      </c>
      <c r="I36" s="27" t="str">
        <f>"25,00"</f>
        <v>25,00</v>
      </c>
      <c r="J36" s="27" t="str">
        <f>"2025-2027"</f>
        <v>2025-2027</v>
      </c>
      <c r="K36" s="27" t="str">
        <f t="shared" si="0"/>
        <v>нет</v>
      </c>
      <c r="L36" s="27" t="str">
        <f>""</f>
        <v/>
      </c>
      <c r="M36" s="27" t="str">
        <f>""</f>
        <v/>
      </c>
      <c r="N36" s="27" t="str">
        <f>""</f>
        <v/>
      </c>
      <c r="O36" s="28" t="str">
        <f>""</f>
        <v/>
      </c>
      <c r="P36" s="27" t="str">
        <f>"85,00"</f>
        <v>85,00</v>
      </c>
      <c r="Q36" s="27" t="str">
        <f>"2029-2031"</f>
        <v>2029-2031</v>
      </c>
      <c r="R36" s="27" t="str">
        <f>"да"</f>
        <v>да</v>
      </c>
      <c r="S36" s="27" t="str">
        <f>"2009"</f>
        <v>2009</v>
      </c>
      <c r="T36" s="27" t="str">
        <f>"24,00"</f>
        <v>24,00</v>
      </c>
      <c r="U36" s="27" t="str">
        <f>"2025-2027"</f>
        <v>2025-2027</v>
      </c>
      <c r="V36" s="27" t="str">
        <f t="shared" si="1"/>
        <v>нет</v>
      </c>
      <c r="W36" s="27" t="str">
        <f>""</f>
        <v/>
      </c>
      <c r="X36" s="27" t="str">
        <f>""</f>
        <v/>
      </c>
      <c r="Y36" s="29" t="str">
        <f>""</f>
        <v/>
      </c>
      <c r="Z36" s="27" t="str">
        <f t="shared" si="34"/>
        <v>х</v>
      </c>
      <c r="AA36" s="27" t="str">
        <f t="shared" si="35"/>
        <v>х</v>
      </c>
      <c r="AB36" s="27" t="str">
        <f t="shared" si="35"/>
        <v>х</v>
      </c>
      <c r="AC36" s="27" t="str">
        <f t="shared" si="3"/>
        <v>нет</v>
      </c>
      <c r="AD36" s="27" t="str">
        <f t="shared" si="36"/>
        <v>х</v>
      </c>
      <c r="AE36" s="27" t="str">
        <f t="shared" si="36"/>
        <v>х</v>
      </c>
      <c r="AF36" s="27" t="str">
        <f t="shared" si="36"/>
        <v>х</v>
      </c>
      <c r="AG36" s="27" t="str">
        <f t="shared" si="5"/>
        <v>нет</v>
      </c>
      <c r="AH36" s="27" t="str">
        <f t="shared" si="37"/>
        <v>х</v>
      </c>
      <c r="AI36" s="27" t="str">
        <f t="shared" si="37"/>
        <v>х</v>
      </c>
      <c r="AJ36" s="27" t="str">
        <f t="shared" si="37"/>
        <v>х</v>
      </c>
      <c r="AK36" s="28" t="str">
        <f>""</f>
        <v/>
      </c>
      <c r="AL36" s="27" t="str">
        <f>"70,00"</f>
        <v>70,00</v>
      </c>
      <c r="AM36" s="27" t="str">
        <f>"2031-2033"</f>
        <v>2031-2033</v>
      </c>
      <c r="AN36" s="30" t="str">
        <f t="shared" si="24"/>
        <v>нет</v>
      </c>
      <c r="AO36" s="27" t="str">
        <f>""</f>
        <v/>
      </c>
      <c r="AP36" s="27" t="str">
        <f>""</f>
        <v/>
      </c>
      <c r="AQ36" s="27" t="str">
        <f>""</f>
        <v/>
      </c>
      <c r="AR36" s="27" t="str">
        <f t="shared" si="8"/>
        <v>нет</v>
      </c>
      <c r="AS36" s="27" t="str">
        <f>""</f>
        <v/>
      </c>
      <c r="AT36" s="27" t="str">
        <f>""</f>
        <v/>
      </c>
      <c r="AU36" s="27" t="str">
        <f>""</f>
        <v/>
      </c>
      <c r="AV36" s="27" t="str">
        <f>""</f>
        <v/>
      </c>
      <c r="AW36" s="27" t="str">
        <f>"68,00"</f>
        <v>68,00</v>
      </c>
      <c r="AX36" s="27" t="str">
        <f>"2036-2038"</f>
        <v>2036-2038</v>
      </c>
      <c r="AY36" s="27" t="str">
        <f t="shared" si="9"/>
        <v>нет</v>
      </c>
      <c r="AZ36" s="27" t="str">
        <f>""</f>
        <v/>
      </c>
      <c r="BA36" s="27" t="str">
        <f>""</f>
        <v/>
      </c>
      <c r="BB36" s="27" t="str">
        <f>""</f>
        <v/>
      </c>
      <c r="BC36" s="27" t="str">
        <f t="shared" si="10"/>
        <v>нет</v>
      </c>
      <c r="BD36" s="27" t="str">
        <f>""</f>
        <v/>
      </c>
      <c r="BE36" s="27" t="str">
        <f>""</f>
        <v/>
      </c>
      <c r="BF36" s="27" t="str">
        <f>""</f>
        <v/>
      </c>
      <c r="BG36" s="27" t="str">
        <f>""</f>
        <v/>
      </c>
      <c r="BH36" s="27" t="str">
        <f>"68,00"</f>
        <v>68,00</v>
      </c>
      <c r="BI36" s="27" t="str">
        <f>"2032-2034"</f>
        <v>2032-2034</v>
      </c>
      <c r="BJ36" s="27" t="str">
        <f t="shared" si="11"/>
        <v>нет</v>
      </c>
      <c r="BK36" s="27" t="str">
        <f t="shared" si="31"/>
        <v>x</v>
      </c>
      <c r="BL36" s="27" t="str">
        <f>"x"</f>
        <v>x</v>
      </c>
      <c r="BM36" s="27" t="str">
        <f>"2036-2038"</f>
        <v>2036-2038</v>
      </c>
      <c r="BN36" s="27" t="str">
        <f>""</f>
        <v/>
      </c>
      <c r="BO36" s="27" t="str">
        <f>"40,00"</f>
        <v>40,00</v>
      </c>
      <c r="BP36" s="27" t="str">
        <f>"2021-2023"</f>
        <v>2021-2023</v>
      </c>
      <c r="BQ36" s="27" t="str">
        <f>""</f>
        <v/>
      </c>
      <c r="BR36" s="27" t="str">
        <f>"34,00"</f>
        <v>34,00</v>
      </c>
      <c r="BS36" s="27" t="str">
        <f>"2036-2038"</f>
        <v>2036-2038</v>
      </c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  <c r="DB36" s="11"/>
      <c r="DC36" s="11"/>
      <c r="DD36" s="11"/>
      <c r="DE36" s="11"/>
      <c r="DF36" s="11"/>
      <c r="DG36" s="11"/>
      <c r="DH36" s="11"/>
      <c r="DI36" s="11"/>
      <c r="DJ36" s="11"/>
      <c r="DK36" s="11"/>
      <c r="DL36" s="11"/>
      <c r="DM36" s="11"/>
      <c r="DN36" s="11"/>
      <c r="DO36" s="11"/>
    </row>
    <row r="37" spans="1:119" s="9" customFormat="1" ht="11.25" customHeight="1">
      <c r="A37" s="24" t="str">
        <f>"1.24"</f>
        <v>1.24</v>
      </c>
      <c r="B37" s="25" t="str">
        <f>"г. Кириллов, ул. Дзержинского, д.13"</f>
        <v>г. Кириллов, ул. Дзержинского, д.13</v>
      </c>
      <c r="C37" s="26" t="str">
        <f>"1978"</f>
        <v>1978</v>
      </c>
      <c r="D37" s="27" t="str">
        <f>"2010"</f>
        <v>2010</v>
      </c>
      <c r="E37" s="27" t="str">
        <f>"15,00"</f>
        <v>15,00</v>
      </c>
      <c r="F37" s="27" t="str">
        <f>"2030-2032"</f>
        <v>2030-2032</v>
      </c>
      <c r="G37" s="27" t="str">
        <f t="shared" si="33"/>
        <v>да</v>
      </c>
      <c r="H37" s="27" t="str">
        <f>"2010"</f>
        <v>2010</v>
      </c>
      <c r="I37" s="27" t="str">
        <f>"19,00"</f>
        <v>19,00</v>
      </c>
      <c r="J37" s="27" t="str">
        <f>"2026-2028"</f>
        <v>2026-2028</v>
      </c>
      <c r="K37" s="27" t="str">
        <f t="shared" si="0"/>
        <v>нет</v>
      </c>
      <c r="L37" s="27" t="str">
        <f>""</f>
        <v/>
      </c>
      <c r="M37" s="27" t="str">
        <f>""</f>
        <v/>
      </c>
      <c r="N37" s="27" t="str">
        <f>""</f>
        <v/>
      </c>
      <c r="O37" s="28" t="str">
        <f>"2010"</f>
        <v>2010</v>
      </c>
      <c r="P37" s="27" t="str">
        <f>"12,00"</f>
        <v>12,00</v>
      </c>
      <c r="Q37" s="27" t="str">
        <f>"2035-2037"</f>
        <v>2035-2037</v>
      </c>
      <c r="R37" s="27" t="str">
        <f>"да"</f>
        <v>да</v>
      </c>
      <c r="S37" s="27" t="str">
        <f>"2010"</f>
        <v>2010</v>
      </c>
      <c r="T37" s="27" t="str">
        <f>"19,00"</f>
        <v>19,00</v>
      </c>
      <c r="U37" s="27" t="str">
        <f>"2026-2028"</f>
        <v>2026-2028</v>
      </c>
      <c r="V37" s="27" t="str">
        <f t="shared" si="1"/>
        <v>нет</v>
      </c>
      <c r="W37" s="27" t="str">
        <f>""</f>
        <v/>
      </c>
      <c r="X37" s="27" t="str">
        <f>""</f>
        <v/>
      </c>
      <c r="Y37" s="29" t="str">
        <f>""</f>
        <v/>
      </c>
      <c r="Z37" s="27" t="str">
        <f t="shared" si="34"/>
        <v>х</v>
      </c>
      <c r="AA37" s="27" t="str">
        <f>"65,00"</f>
        <v>65,00</v>
      </c>
      <c r="AB37" s="27" t="str">
        <f>"2023-2025"</f>
        <v>2023-2025</v>
      </c>
      <c r="AC37" s="27" t="str">
        <f t="shared" si="3"/>
        <v>нет</v>
      </c>
      <c r="AD37" s="27" t="str">
        <f t="shared" si="36"/>
        <v>х</v>
      </c>
      <c r="AE37" s="27" t="str">
        <f t="shared" si="36"/>
        <v>х</v>
      </c>
      <c r="AF37" s="27" t="str">
        <f t="shared" si="36"/>
        <v>х</v>
      </c>
      <c r="AG37" s="27" t="str">
        <f t="shared" si="5"/>
        <v>нет</v>
      </c>
      <c r="AH37" s="27" t="str">
        <f t="shared" si="37"/>
        <v>х</v>
      </c>
      <c r="AI37" s="27" t="str">
        <f t="shared" si="37"/>
        <v>х</v>
      </c>
      <c r="AJ37" s="27" t="str">
        <f t="shared" si="37"/>
        <v>х</v>
      </c>
      <c r="AK37" s="28" t="str">
        <f>"2010"</f>
        <v>2010</v>
      </c>
      <c r="AL37" s="27" t="str">
        <f>"10,00"</f>
        <v>10,00</v>
      </c>
      <c r="AM37" s="27" t="str">
        <f>"2040-2042"</f>
        <v>2040-2042</v>
      </c>
      <c r="AN37" s="30" t="str">
        <f>"да"</f>
        <v>да</v>
      </c>
      <c r="AO37" s="27" t="str">
        <f>"2010"</f>
        <v>2010</v>
      </c>
      <c r="AP37" s="27" t="str">
        <f>"50,00"</f>
        <v>50,00</v>
      </c>
      <c r="AQ37" s="27" t="str">
        <f>"2016-2018"</f>
        <v>2016-2018</v>
      </c>
      <c r="AR37" s="27" t="str">
        <f t="shared" si="8"/>
        <v>нет</v>
      </c>
      <c r="AS37" s="27" t="str">
        <f>""</f>
        <v/>
      </c>
      <c r="AT37" s="27" t="str">
        <f>""</f>
        <v/>
      </c>
      <c r="AU37" s="27" t="str">
        <f>""</f>
        <v/>
      </c>
      <c r="AV37" s="27" t="str">
        <f>"2010"</f>
        <v>2010</v>
      </c>
      <c r="AW37" s="27" t="str">
        <f>"1,00"</f>
        <v>1,00</v>
      </c>
      <c r="AX37" s="27" t="str">
        <f>"2045-2047"</f>
        <v>2045-2047</v>
      </c>
      <c r="AY37" s="27" t="str">
        <f t="shared" si="9"/>
        <v>нет</v>
      </c>
      <c r="AZ37" s="27" t="str">
        <f>""</f>
        <v/>
      </c>
      <c r="BA37" s="27" t="str">
        <f>""</f>
        <v/>
      </c>
      <c r="BB37" s="27" t="str">
        <f>""</f>
        <v/>
      </c>
      <c r="BC37" s="27" t="str">
        <f t="shared" si="10"/>
        <v>нет</v>
      </c>
      <c r="BD37" s="27" t="str">
        <f>""</f>
        <v/>
      </c>
      <c r="BE37" s="27" t="str">
        <f>""</f>
        <v/>
      </c>
      <c r="BF37" s="27" t="str">
        <f>""</f>
        <v/>
      </c>
      <c r="BG37" s="27" t="str">
        <f>"2010"</f>
        <v>2010</v>
      </c>
      <c r="BH37" s="27" t="str">
        <f>"25,00"</f>
        <v>25,00</v>
      </c>
      <c r="BI37" s="27" t="str">
        <f>"2030-2032"</f>
        <v>2030-2032</v>
      </c>
      <c r="BJ37" s="27" t="str">
        <f t="shared" si="11"/>
        <v>нет</v>
      </c>
      <c r="BK37" s="27" t="str">
        <f>"2010"</f>
        <v>2010</v>
      </c>
      <c r="BL37" s="27" t="str">
        <f>"8,00"</f>
        <v>8,00</v>
      </c>
      <c r="BM37" s="27" t="str">
        <f>"2045-2047"</f>
        <v>2045-2047</v>
      </c>
      <c r="BN37" s="27" t="str">
        <f>""</f>
        <v/>
      </c>
      <c r="BO37" s="27" t="str">
        <f>"40,00"</f>
        <v>40,00</v>
      </c>
      <c r="BP37" s="27" t="str">
        <f>"2030-2032"</f>
        <v>2030-2032</v>
      </c>
      <c r="BQ37" s="27" t="str">
        <f>"2010"</f>
        <v>2010</v>
      </c>
      <c r="BR37" s="27" t="str">
        <f>"8,00"</f>
        <v>8,00</v>
      </c>
      <c r="BS37" s="27" t="str">
        <f>"2045-2047"</f>
        <v>2045-2047</v>
      </c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</row>
    <row r="38" spans="1:119" s="10" customFormat="1" ht="11.25" customHeight="1">
      <c r="A38" s="24" t="str">
        <f>"1.25"</f>
        <v>1.25</v>
      </c>
      <c r="B38" s="25" t="str">
        <f>"г. Кириллов, ул. Дзержинского, д.15А"</f>
        <v>г. Кириллов, ул. Дзержинского, д.15А</v>
      </c>
      <c r="C38" s="26" t="str">
        <f>"1966"</f>
        <v>1966</v>
      </c>
      <c r="D38" s="27" t="str">
        <f>"2009"</f>
        <v>2009</v>
      </c>
      <c r="E38" s="27" t="str">
        <f>"15,00"</f>
        <v>15,00</v>
      </c>
      <c r="F38" s="27" t="str">
        <f>"2029-2031"</f>
        <v>2029-2031</v>
      </c>
      <c r="G38" s="27" t="str">
        <f t="shared" si="33"/>
        <v>да</v>
      </c>
      <c r="H38" s="27" t="str">
        <f>"2009"</f>
        <v>2009</v>
      </c>
      <c r="I38" s="27" t="str">
        <f>"19,00"</f>
        <v>19,00</v>
      </c>
      <c r="J38" s="27" t="str">
        <f>"2025-2027"</f>
        <v>2025-2027</v>
      </c>
      <c r="K38" s="27" t="str">
        <f t="shared" si="0"/>
        <v>нет</v>
      </c>
      <c r="L38" s="27" t="str">
        <f>""</f>
        <v/>
      </c>
      <c r="M38" s="27" t="str">
        <f>""</f>
        <v/>
      </c>
      <c r="N38" s="27" t="str">
        <f>""</f>
        <v/>
      </c>
      <c r="O38" s="28" t="str">
        <f>"2009"</f>
        <v>2009</v>
      </c>
      <c r="P38" s="27" t="str">
        <f>"12,00"</f>
        <v>12,00</v>
      </c>
      <c r="Q38" s="27" t="str">
        <f>"2034-2036"</f>
        <v>2034-2036</v>
      </c>
      <c r="R38" s="27" t="str">
        <f>"да"</f>
        <v>да</v>
      </c>
      <c r="S38" s="27" t="str">
        <f>"2009"</f>
        <v>2009</v>
      </c>
      <c r="T38" s="27" t="str">
        <f>"31,00"</f>
        <v>31,00</v>
      </c>
      <c r="U38" s="27" t="str">
        <f>"2015-2017"</f>
        <v>2015-2017</v>
      </c>
      <c r="V38" s="27" t="str">
        <f t="shared" si="1"/>
        <v>нет</v>
      </c>
      <c r="W38" s="27" t="str">
        <f>""</f>
        <v/>
      </c>
      <c r="X38" s="27" t="str">
        <f>""</f>
        <v/>
      </c>
      <c r="Y38" s="29" t="str">
        <f>""</f>
        <v/>
      </c>
      <c r="Z38" s="27" t="str">
        <f t="shared" si="34"/>
        <v>х</v>
      </c>
      <c r="AA38" s="27" t="str">
        <f t="shared" ref="AA38:AB42" si="38">"х"</f>
        <v>х</v>
      </c>
      <c r="AB38" s="27" t="str">
        <f t="shared" si="38"/>
        <v>х</v>
      </c>
      <c r="AC38" s="27" t="str">
        <f t="shared" si="3"/>
        <v>нет</v>
      </c>
      <c r="AD38" s="27" t="str">
        <f t="shared" si="36"/>
        <v>х</v>
      </c>
      <c r="AE38" s="27" t="str">
        <f t="shared" si="36"/>
        <v>х</v>
      </c>
      <c r="AF38" s="27" t="str">
        <f t="shared" si="36"/>
        <v>х</v>
      </c>
      <c r="AG38" s="27" t="str">
        <f t="shared" si="5"/>
        <v>нет</v>
      </c>
      <c r="AH38" s="27" t="str">
        <f t="shared" si="37"/>
        <v>х</v>
      </c>
      <c r="AI38" s="27" t="str">
        <f t="shared" si="37"/>
        <v>х</v>
      </c>
      <c r="AJ38" s="27" t="str">
        <f t="shared" si="37"/>
        <v>х</v>
      </c>
      <c r="AK38" s="28" t="str">
        <f>"2009"</f>
        <v>2009</v>
      </c>
      <c r="AL38" s="27" t="str">
        <f>"10,00"</f>
        <v>10,00</v>
      </c>
      <c r="AM38" s="27" t="str">
        <f>"2039-2041"</f>
        <v>2039-2041</v>
      </c>
      <c r="AN38" s="30">
        <v>2015</v>
      </c>
      <c r="AO38" s="27" t="str">
        <f>""</f>
        <v/>
      </c>
      <c r="AP38" s="27" t="str">
        <f>""</f>
        <v/>
      </c>
      <c r="AQ38" s="27">
        <v>2030</v>
      </c>
      <c r="AR38" s="27" t="str">
        <f t="shared" si="8"/>
        <v>нет</v>
      </c>
      <c r="AS38" s="27" t="str">
        <f>""</f>
        <v/>
      </c>
      <c r="AT38" s="27" t="str">
        <f>""</f>
        <v/>
      </c>
      <c r="AU38" s="27" t="str">
        <f>""</f>
        <v/>
      </c>
      <c r="AV38" s="27" t="str">
        <f>""</f>
        <v/>
      </c>
      <c r="AW38" s="27" t="str">
        <f>"40,00"</f>
        <v>40,00</v>
      </c>
      <c r="AX38" s="27" t="str">
        <f>"2030-2032"</f>
        <v>2030-2032</v>
      </c>
      <c r="AY38" s="27" t="str">
        <f t="shared" si="9"/>
        <v>нет</v>
      </c>
      <c r="AZ38" s="27" t="str">
        <f>""</f>
        <v/>
      </c>
      <c r="BA38" s="27" t="str">
        <f>""</f>
        <v/>
      </c>
      <c r="BB38" s="27" t="str">
        <f>""</f>
        <v/>
      </c>
      <c r="BC38" s="27" t="str">
        <f t="shared" si="10"/>
        <v>нет</v>
      </c>
      <c r="BD38" s="27" t="str">
        <f>""</f>
        <v/>
      </c>
      <c r="BE38" s="27" t="str">
        <f>""</f>
        <v/>
      </c>
      <c r="BF38" s="27" t="str">
        <f>""</f>
        <v/>
      </c>
      <c r="BG38" s="27" t="str">
        <f>"2009"</f>
        <v>2009</v>
      </c>
      <c r="BH38" s="27" t="str">
        <f>"27,00"</f>
        <v>27,00</v>
      </c>
      <c r="BI38" s="27" t="str">
        <f>"2029-2031"</f>
        <v>2029-2031</v>
      </c>
      <c r="BJ38" s="27" t="str">
        <f t="shared" si="11"/>
        <v>нет</v>
      </c>
      <c r="BK38" s="27" t="str">
        <f t="shared" ref="BK38:BK51" si="39">"x"</f>
        <v>x</v>
      </c>
      <c r="BL38" s="27" t="str">
        <f>"60,00"</f>
        <v>60,00</v>
      </c>
      <c r="BM38" s="27" t="str">
        <f>"2020-2022"</f>
        <v>2020-2022</v>
      </c>
      <c r="BN38" s="27" t="str">
        <f>""</f>
        <v/>
      </c>
      <c r="BO38" s="27" t="str">
        <f>"60,00"</f>
        <v>60,00</v>
      </c>
      <c r="BP38" s="27" t="str">
        <f>"2021-2023"</f>
        <v>2021-2023</v>
      </c>
      <c r="BQ38" s="27" t="str">
        <f>""</f>
        <v/>
      </c>
      <c r="BR38" s="27" t="str">
        <f>"60,00"</f>
        <v>60,00</v>
      </c>
      <c r="BS38" s="27" t="str">
        <f>"2020-2022"</f>
        <v>2020-2022</v>
      </c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</row>
    <row r="39" spans="1:119" s="10" customFormat="1" ht="11.25" customHeight="1">
      <c r="A39" s="24" t="str">
        <f>"1.26"</f>
        <v>1.26</v>
      </c>
      <c r="B39" s="25" t="str">
        <f>"г. Кириллов, ул. Дзержинского, д.26"</f>
        <v>г. Кириллов, ул. Дзержинского, д.26</v>
      </c>
      <c r="C39" s="26" t="str">
        <f>"1967"</f>
        <v>1967</v>
      </c>
      <c r="D39" s="27" t="str">
        <f>""</f>
        <v/>
      </c>
      <c r="E39" s="27" t="str">
        <f>"80,00"</f>
        <v>80,00</v>
      </c>
      <c r="F39" s="27" t="str">
        <f>"2016-2018"</f>
        <v>2016-2018</v>
      </c>
      <c r="G39" s="27" t="str">
        <f t="shared" si="33"/>
        <v>да</v>
      </c>
      <c r="H39" s="27" t="str">
        <f>"2010"</f>
        <v>2010</v>
      </c>
      <c r="I39" s="27" t="str">
        <f>"19,00"</f>
        <v>19,00</v>
      </c>
      <c r="J39" s="27" t="str">
        <f>"2026-2028"</f>
        <v>2026-2028</v>
      </c>
      <c r="K39" s="27" t="str">
        <f t="shared" si="0"/>
        <v>нет</v>
      </c>
      <c r="L39" s="27" t="str">
        <f>""</f>
        <v/>
      </c>
      <c r="M39" s="27" t="str">
        <f>""</f>
        <v/>
      </c>
      <c r="N39" s="27" t="str">
        <f>""</f>
        <v/>
      </c>
      <c r="O39" s="28" t="str">
        <f>""</f>
        <v/>
      </c>
      <c r="P39" s="27" t="str">
        <f>""</f>
        <v/>
      </c>
      <c r="Q39" s="27" t="str">
        <f>""</f>
        <v/>
      </c>
      <c r="R39" s="27" t="str">
        <f>"нет"</f>
        <v>нет</v>
      </c>
      <c r="S39" s="27" t="str">
        <f>""</f>
        <v/>
      </c>
      <c r="T39" s="27" t="str">
        <f>""</f>
        <v/>
      </c>
      <c r="U39" s="27" t="str">
        <f>""</f>
        <v/>
      </c>
      <c r="V39" s="27" t="str">
        <f t="shared" si="1"/>
        <v>нет</v>
      </c>
      <c r="W39" s="27" t="str">
        <f>""</f>
        <v/>
      </c>
      <c r="X39" s="27" t="str">
        <f>""</f>
        <v/>
      </c>
      <c r="Y39" s="29" t="str">
        <f>""</f>
        <v/>
      </c>
      <c r="Z39" s="27" t="str">
        <f t="shared" si="34"/>
        <v>х</v>
      </c>
      <c r="AA39" s="27" t="str">
        <f t="shared" si="38"/>
        <v>х</v>
      </c>
      <c r="AB39" s="27" t="str">
        <f t="shared" si="38"/>
        <v>х</v>
      </c>
      <c r="AC39" s="27" t="str">
        <f t="shared" si="3"/>
        <v>нет</v>
      </c>
      <c r="AD39" s="27" t="str">
        <f t="shared" si="36"/>
        <v>х</v>
      </c>
      <c r="AE39" s="27" t="str">
        <f t="shared" si="36"/>
        <v>х</v>
      </c>
      <c r="AF39" s="27" t="str">
        <f t="shared" si="36"/>
        <v>х</v>
      </c>
      <c r="AG39" s="27" t="str">
        <f t="shared" si="5"/>
        <v>нет</v>
      </c>
      <c r="AH39" s="27" t="str">
        <f t="shared" si="37"/>
        <v>х</v>
      </c>
      <c r="AI39" s="27" t="str">
        <f t="shared" si="37"/>
        <v>х</v>
      </c>
      <c r="AJ39" s="27" t="str">
        <f t="shared" si="37"/>
        <v>х</v>
      </c>
      <c r="AK39" s="28" t="str">
        <f>"2012"</f>
        <v>2012</v>
      </c>
      <c r="AL39" s="27" t="str">
        <f>"7,00"</f>
        <v>7,00</v>
      </c>
      <c r="AM39" s="27" t="str">
        <f>"2042-2044"</f>
        <v>2042-2044</v>
      </c>
      <c r="AN39" s="30" t="str">
        <f>"нет"</f>
        <v>нет</v>
      </c>
      <c r="AO39" s="27" t="str">
        <f>""</f>
        <v/>
      </c>
      <c r="AP39" s="27" t="str">
        <f>""</f>
        <v/>
      </c>
      <c r="AQ39" s="27" t="str">
        <f>""</f>
        <v/>
      </c>
      <c r="AR39" s="27" t="str">
        <f t="shared" si="8"/>
        <v>нет</v>
      </c>
      <c r="AS39" s="27" t="str">
        <f>""</f>
        <v/>
      </c>
      <c r="AT39" s="27" t="str">
        <f>""</f>
        <v/>
      </c>
      <c r="AU39" s="27" t="str">
        <f>""</f>
        <v/>
      </c>
      <c r="AV39" s="27" t="str">
        <f>"2012"</f>
        <v>2012</v>
      </c>
      <c r="AW39" s="27" t="str">
        <f>"3,00"</f>
        <v>3,00</v>
      </c>
      <c r="AX39" s="27" t="str">
        <f>"2045-2047"</f>
        <v>2045-2047</v>
      </c>
      <c r="AY39" s="27" t="str">
        <f t="shared" si="9"/>
        <v>нет</v>
      </c>
      <c r="AZ39" s="27" t="str">
        <f>""</f>
        <v/>
      </c>
      <c r="BA39" s="27" t="str">
        <f>""</f>
        <v/>
      </c>
      <c r="BB39" s="27" t="str">
        <f>""</f>
        <v/>
      </c>
      <c r="BC39" s="27" t="str">
        <f t="shared" si="10"/>
        <v>нет</v>
      </c>
      <c r="BD39" s="27" t="str">
        <f>""</f>
        <v/>
      </c>
      <c r="BE39" s="27" t="str">
        <f>""</f>
        <v/>
      </c>
      <c r="BF39" s="27" t="str">
        <f>""</f>
        <v/>
      </c>
      <c r="BG39" s="27" t="str">
        <f>""</f>
        <v/>
      </c>
      <c r="BH39" s="27" t="str">
        <f>"60,00"</f>
        <v>60,00</v>
      </c>
      <c r="BI39" s="27" t="str">
        <f>"2026-2028"</f>
        <v>2026-2028</v>
      </c>
      <c r="BJ39" s="27" t="str">
        <f t="shared" si="11"/>
        <v>нет</v>
      </c>
      <c r="BK39" s="27" t="str">
        <f t="shared" si="39"/>
        <v>x</v>
      </c>
      <c r="BL39" s="27" t="str">
        <f>"60,00"</f>
        <v>60,00</v>
      </c>
      <c r="BM39" s="27" t="str">
        <f>"2024-2026"</f>
        <v>2024-2026</v>
      </c>
      <c r="BN39" s="27" t="str">
        <f>""</f>
        <v/>
      </c>
      <c r="BO39" s="27" t="str">
        <f>"60,00"</f>
        <v>60,00</v>
      </c>
      <c r="BP39" s="27" t="str">
        <f>"2028-2030"</f>
        <v>2028-2030</v>
      </c>
      <c r="BQ39" s="27" t="str">
        <f>""</f>
        <v/>
      </c>
      <c r="BR39" s="27" t="str">
        <f>"60,00"</f>
        <v>60,00</v>
      </c>
      <c r="BS39" s="27" t="str">
        <f>"2024-2026"</f>
        <v>2024-2026</v>
      </c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  <c r="DB39" s="11"/>
      <c r="DC39" s="11"/>
      <c r="DD39" s="11"/>
      <c r="DE39" s="11"/>
      <c r="DF39" s="11"/>
      <c r="DG39" s="11"/>
      <c r="DH39" s="11"/>
      <c r="DI39" s="11"/>
      <c r="DJ39" s="11"/>
      <c r="DK39" s="11"/>
      <c r="DL39" s="11"/>
      <c r="DM39" s="11"/>
      <c r="DN39" s="11"/>
      <c r="DO39" s="11"/>
    </row>
    <row r="40" spans="1:119" s="9" customFormat="1" ht="11.25" customHeight="1">
      <c r="A40" s="24" t="str">
        <f>"1.27"</f>
        <v>1.27</v>
      </c>
      <c r="B40" s="25" t="str">
        <f>"г. Кириллов, ул. Дзержинского, д.29"</f>
        <v>г. Кириллов, ул. Дзержинского, д.29</v>
      </c>
      <c r="C40" s="26" t="str">
        <f>"2012"</f>
        <v>2012</v>
      </c>
      <c r="D40" s="27" t="str">
        <f>""</f>
        <v/>
      </c>
      <c r="E40" s="27" t="str">
        <f>"5,00"</f>
        <v>5,00</v>
      </c>
      <c r="F40" s="27" t="str">
        <f>"2036-2038"</f>
        <v>2036-2038</v>
      </c>
      <c r="G40" s="27" t="str">
        <f t="shared" si="33"/>
        <v>да</v>
      </c>
      <c r="H40" s="27" t="str">
        <f>"2012"</f>
        <v>2012</v>
      </c>
      <c r="I40" s="27" t="str">
        <f>"6,00"</f>
        <v>6,00</v>
      </c>
      <c r="J40" s="27" t="str">
        <f>"2028-2030"</f>
        <v>2028-2030</v>
      </c>
      <c r="K40" s="27" t="str">
        <f t="shared" si="0"/>
        <v>нет</v>
      </c>
      <c r="L40" s="27" t="str">
        <f>""</f>
        <v/>
      </c>
      <c r="M40" s="27" t="str">
        <f>""</f>
        <v/>
      </c>
      <c r="N40" s="27" t="str">
        <f>""</f>
        <v/>
      </c>
      <c r="O40" s="28" t="str">
        <f>""</f>
        <v/>
      </c>
      <c r="P40" s="27" t="str">
        <f>"4,00"</f>
        <v>4,00</v>
      </c>
      <c r="Q40" s="27" t="str">
        <f>"2030-2032"</f>
        <v>2030-2032</v>
      </c>
      <c r="R40" s="27" t="str">
        <f>"да"</f>
        <v>да</v>
      </c>
      <c r="S40" s="27" t="str">
        <f>"2012"</f>
        <v>2012</v>
      </c>
      <c r="T40" s="27" t="str">
        <f>"6,00"</f>
        <v>6,00</v>
      </c>
      <c r="U40" s="27" t="str">
        <f>"2028-2030"</f>
        <v>2028-2030</v>
      </c>
      <c r="V40" s="27" t="str">
        <f t="shared" si="1"/>
        <v>нет</v>
      </c>
      <c r="W40" s="27" t="str">
        <f>""</f>
        <v/>
      </c>
      <c r="X40" s="27" t="str">
        <f>""</f>
        <v/>
      </c>
      <c r="Y40" s="29" t="str">
        <f>""</f>
        <v/>
      </c>
      <c r="Z40" s="27" t="str">
        <f t="shared" si="34"/>
        <v>х</v>
      </c>
      <c r="AA40" s="27" t="str">
        <f t="shared" si="38"/>
        <v>х</v>
      </c>
      <c r="AB40" s="27" t="str">
        <f t="shared" si="38"/>
        <v>х</v>
      </c>
      <c r="AC40" s="27" t="str">
        <f t="shared" si="3"/>
        <v>нет</v>
      </c>
      <c r="AD40" s="27" t="str">
        <f t="shared" si="36"/>
        <v>х</v>
      </c>
      <c r="AE40" s="27" t="str">
        <f t="shared" si="36"/>
        <v>х</v>
      </c>
      <c r="AF40" s="27" t="str">
        <f t="shared" si="36"/>
        <v>х</v>
      </c>
      <c r="AG40" s="27" t="str">
        <f t="shared" si="5"/>
        <v>нет</v>
      </c>
      <c r="AH40" s="27" t="str">
        <f t="shared" si="37"/>
        <v>х</v>
      </c>
      <c r="AI40" s="27" t="str">
        <f t="shared" si="37"/>
        <v>х</v>
      </c>
      <c r="AJ40" s="27" t="str">
        <f t="shared" si="37"/>
        <v>х</v>
      </c>
      <c r="AK40" s="28" t="str">
        <f>""</f>
        <v/>
      </c>
      <c r="AL40" s="27" t="str">
        <f>"7,00"</f>
        <v>7,00</v>
      </c>
      <c r="AM40" s="27" t="str">
        <f>"2042-2044"</f>
        <v>2042-2044</v>
      </c>
      <c r="AN40" s="30" t="str">
        <f>"да"</f>
        <v>да</v>
      </c>
      <c r="AO40" s="27" t="str">
        <f>"2012"</f>
        <v>2012</v>
      </c>
      <c r="AP40" s="27" t="str">
        <f>"7,00"</f>
        <v>7,00</v>
      </c>
      <c r="AQ40" s="27" t="str">
        <f>"2018-2020"</f>
        <v>2018-2020</v>
      </c>
      <c r="AR40" s="27" t="str">
        <f t="shared" si="8"/>
        <v>нет</v>
      </c>
      <c r="AS40" s="27" t="str">
        <f>""</f>
        <v/>
      </c>
      <c r="AT40" s="27" t="str">
        <f>""</f>
        <v/>
      </c>
      <c r="AU40" s="27" t="str">
        <f>""</f>
        <v/>
      </c>
      <c r="AV40" s="27" t="str">
        <f>""</f>
        <v/>
      </c>
      <c r="AW40" s="27" t="str">
        <f>"2,00"</f>
        <v>2,00</v>
      </c>
      <c r="AX40" s="27" t="str">
        <f>"2045-2047"</f>
        <v>2045-2047</v>
      </c>
      <c r="AY40" s="27" t="str">
        <f t="shared" si="9"/>
        <v>нет</v>
      </c>
      <c r="AZ40" s="27" t="str">
        <f>""</f>
        <v/>
      </c>
      <c r="BA40" s="27" t="str">
        <f>""</f>
        <v/>
      </c>
      <c r="BB40" s="27" t="str">
        <f>""</f>
        <v/>
      </c>
      <c r="BC40" s="27" t="str">
        <f t="shared" si="10"/>
        <v>нет</v>
      </c>
      <c r="BD40" s="27" t="str">
        <f>""</f>
        <v/>
      </c>
      <c r="BE40" s="27" t="str">
        <f>""</f>
        <v/>
      </c>
      <c r="BF40" s="27" t="str">
        <f>""</f>
        <v/>
      </c>
      <c r="BG40" s="27" t="str">
        <f>""</f>
        <v/>
      </c>
      <c r="BH40" s="27" t="str">
        <f>"7,00"</f>
        <v>7,00</v>
      </c>
      <c r="BI40" s="27" t="str">
        <f>"2035-2037"</f>
        <v>2035-2037</v>
      </c>
      <c r="BJ40" s="27" t="str">
        <f t="shared" si="11"/>
        <v>нет</v>
      </c>
      <c r="BK40" s="27" t="str">
        <f t="shared" si="39"/>
        <v>x</v>
      </c>
      <c r="BL40" s="27" t="str">
        <f>"2,00"</f>
        <v>2,00</v>
      </c>
      <c r="BM40" s="27" t="str">
        <f>"2045-2047"</f>
        <v>2045-2047</v>
      </c>
      <c r="BN40" s="27" t="str">
        <f>""</f>
        <v/>
      </c>
      <c r="BO40" s="27" t="str">
        <f>"2,00"</f>
        <v>2,00</v>
      </c>
      <c r="BP40" s="27" t="str">
        <f>"2042-2044"</f>
        <v>2042-2044</v>
      </c>
      <c r="BQ40" s="27" t="str">
        <f>""</f>
        <v/>
      </c>
      <c r="BR40" s="27" t="str">
        <f>"2,00"</f>
        <v>2,00</v>
      </c>
      <c r="BS40" s="27" t="str">
        <f>"2045-2047"</f>
        <v>2045-2047</v>
      </c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  <c r="DC40" s="11"/>
      <c r="DD40" s="11"/>
      <c r="DE40" s="11"/>
      <c r="DF40" s="11"/>
      <c r="DG40" s="11"/>
      <c r="DH40" s="11"/>
      <c r="DI40" s="11"/>
      <c r="DJ40" s="11"/>
      <c r="DK40" s="11"/>
      <c r="DL40" s="11"/>
      <c r="DM40" s="11"/>
      <c r="DN40" s="11"/>
      <c r="DO40" s="11"/>
    </row>
    <row r="41" spans="1:119" s="9" customFormat="1" ht="11.25" customHeight="1">
      <c r="A41" s="24" t="str">
        <f>"1.28"</f>
        <v>1.28</v>
      </c>
      <c r="B41" s="25" t="str">
        <f>"г. Кириллов, ул. Дзержинского, д.30"</f>
        <v>г. Кириллов, ул. Дзержинского, д.30</v>
      </c>
      <c r="C41" s="26" t="str">
        <f>"1981"</f>
        <v>1981</v>
      </c>
      <c r="D41" s="27" t="str">
        <f>"2010"</f>
        <v>2010</v>
      </c>
      <c r="E41" s="27" t="str">
        <f>"15,00"</f>
        <v>15,00</v>
      </c>
      <c r="F41" s="27" t="str">
        <f>"2032-2034"</f>
        <v>2032-2034</v>
      </c>
      <c r="G41" s="27" t="str">
        <f t="shared" si="33"/>
        <v>да</v>
      </c>
      <c r="H41" s="27" t="str">
        <f>"2010"</f>
        <v>2010</v>
      </c>
      <c r="I41" s="27" t="str">
        <f>"19,00"</f>
        <v>19,00</v>
      </c>
      <c r="J41" s="27" t="str">
        <f>"2026-2028"</f>
        <v>2026-2028</v>
      </c>
      <c r="K41" s="27" t="str">
        <f t="shared" si="0"/>
        <v>нет</v>
      </c>
      <c r="L41" s="27" t="str">
        <f>""</f>
        <v/>
      </c>
      <c r="M41" s="27" t="str">
        <f>""</f>
        <v/>
      </c>
      <c r="N41" s="27" t="str">
        <f>""</f>
        <v/>
      </c>
      <c r="O41" s="28" t="str">
        <f>"2010"</f>
        <v>2010</v>
      </c>
      <c r="P41" s="27" t="str">
        <f>"12,00"</f>
        <v>12,00</v>
      </c>
      <c r="Q41" s="27" t="str">
        <f>"2035-2037"</f>
        <v>2035-2037</v>
      </c>
      <c r="R41" s="27" t="str">
        <f>"да"</f>
        <v>да</v>
      </c>
      <c r="S41" s="27" t="str">
        <f>"2010"</f>
        <v>2010</v>
      </c>
      <c r="T41" s="27" t="str">
        <f>"19,00"</f>
        <v>19,00</v>
      </c>
      <c r="U41" s="27" t="str">
        <f>"2026-2028"</f>
        <v>2026-2028</v>
      </c>
      <c r="V41" s="27" t="str">
        <f t="shared" si="1"/>
        <v>нет</v>
      </c>
      <c r="W41" s="27" t="str">
        <f>""</f>
        <v/>
      </c>
      <c r="X41" s="27" t="str">
        <f>""</f>
        <v/>
      </c>
      <c r="Y41" s="29" t="str">
        <f>""</f>
        <v/>
      </c>
      <c r="Z41" s="27" t="str">
        <f t="shared" si="34"/>
        <v>х</v>
      </c>
      <c r="AA41" s="27" t="str">
        <f t="shared" si="38"/>
        <v>х</v>
      </c>
      <c r="AB41" s="27" t="str">
        <f t="shared" si="38"/>
        <v>х</v>
      </c>
      <c r="AC41" s="27" t="str">
        <f t="shared" si="3"/>
        <v>нет</v>
      </c>
      <c r="AD41" s="27" t="str">
        <f t="shared" si="36"/>
        <v>х</v>
      </c>
      <c r="AE41" s="27" t="str">
        <f t="shared" si="36"/>
        <v>х</v>
      </c>
      <c r="AF41" s="27" t="str">
        <f t="shared" si="36"/>
        <v>х</v>
      </c>
      <c r="AG41" s="27" t="str">
        <f t="shared" si="5"/>
        <v>нет</v>
      </c>
      <c r="AH41" s="27" t="str">
        <f t="shared" si="37"/>
        <v>х</v>
      </c>
      <c r="AI41" s="27" t="str">
        <f t="shared" si="37"/>
        <v>х</v>
      </c>
      <c r="AJ41" s="27" t="str">
        <f t="shared" si="37"/>
        <v>х</v>
      </c>
      <c r="AK41" s="28" t="str">
        <f>"2010"</f>
        <v>2010</v>
      </c>
      <c r="AL41" s="27" t="str">
        <f>"10,00"</f>
        <v>10,00</v>
      </c>
      <c r="AM41" s="27" t="str">
        <f>"2040-2042"</f>
        <v>2040-2042</v>
      </c>
      <c r="AN41" s="30" t="str">
        <f>"да"</f>
        <v>да</v>
      </c>
      <c r="AO41" s="27" t="str">
        <f>"2010"</f>
        <v>2010</v>
      </c>
      <c r="AP41" s="27" t="str">
        <f>"50,00"</f>
        <v>50,00</v>
      </c>
      <c r="AQ41" s="27" t="str">
        <f>"2016-2018"</f>
        <v>2016-2018</v>
      </c>
      <c r="AR41" s="27" t="str">
        <f t="shared" si="8"/>
        <v>нет</v>
      </c>
      <c r="AS41" s="27" t="str">
        <f>""</f>
        <v/>
      </c>
      <c r="AT41" s="27" t="str">
        <f>""</f>
        <v/>
      </c>
      <c r="AU41" s="27" t="str">
        <f>""</f>
        <v/>
      </c>
      <c r="AV41" s="27" t="str">
        <f>"2010"</f>
        <v>2010</v>
      </c>
      <c r="AW41" s="27" t="str">
        <f>"6,00"</f>
        <v>6,00</v>
      </c>
      <c r="AX41" s="27" t="str">
        <f>"2045-2047"</f>
        <v>2045-2047</v>
      </c>
      <c r="AY41" s="27" t="str">
        <f t="shared" si="9"/>
        <v>нет</v>
      </c>
      <c r="AZ41" s="27" t="str">
        <f>""</f>
        <v/>
      </c>
      <c r="BA41" s="27" t="str">
        <f>""</f>
        <v/>
      </c>
      <c r="BB41" s="27" t="str">
        <f>""</f>
        <v/>
      </c>
      <c r="BC41" s="27" t="str">
        <f t="shared" si="10"/>
        <v>нет</v>
      </c>
      <c r="BD41" s="27" t="str">
        <f>""</f>
        <v/>
      </c>
      <c r="BE41" s="27" t="str">
        <f>""</f>
        <v/>
      </c>
      <c r="BF41" s="27" t="str">
        <f>""</f>
        <v/>
      </c>
      <c r="BG41" s="27" t="str">
        <f>""</f>
        <v/>
      </c>
      <c r="BH41" s="27" t="str">
        <f>"60,00"</f>
        <v>60,00</v>
      </c>
      <c r="BI41" s="27" t="str">
        <f>"2024-2026"</f>
        <v>2024-2026</v>
      </c>
      <c r="BJ41" s="27" t="str">
        <f t="shared" si="11"/>
        <v>нет</v>
      </c>
      <c r="BK41" s="27" t="str">
        <f t="shared" si="39"/>
        <v>x</v>
      </c>
      <c r="BL41" s="27" t="str">
        <f>"40,00"</f>
        <v>40,00</v>
      </c>
      <c r="BM41" s="27" t="str">
        <f>"2031-2033"</f>
        <v>2031-2033</v>
      </c>
      <c r="BN41" s="27" t="str">
        <f>""</f>
        <v/>
      </c>
      <c r="BO41" s="27" t="str">
        <f>"60,00"</f>
        <v>60,00</v>
      </c>
      <c r="BP41" s="27" t="str">
        <f>"2029-2031"</f>
        <v>2029-2031</v>
      </c>
      <c r="BQ41" s="27" t="str">
        <f>""</f>
        <v/>
      </c>
      <c r="BR41" s="27" t="str">
        <f>"40,00"</f>
        <v>40,00</v>
      </c>
      <c r="BS41" s="27" t="str">
        <f>"2031-2033"</f>
        <v>2031-2033</v>
      </c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</row>
    <row r="42" spans="1:119" s="9" customFormat="1" ht="11.25" customHeight="1">
      <c r="A42" s="24" t="str">
        <f>"1.29"</f>
        <v>1.29</v>
      </c>
      <c r="B42" s="25" t="str">
        <f>"г. Кириллов, ул. Дзержинского, д.31"</f>
        <v>г. Кириллов, ул. Дзержинского, д.31</v>
      </c>
      <c r="C42" s="26" t="str">
        <f>"2010"</f>
        <v>2010</v>
      </c>
      <c r="D42" s="27" t="str">
        <f>""</f>
        <v/>
      </c>
      <c r="E42" s="27" t="str">
        <f>"15,00"</f>
        <v>15,00</v>
      </c>
      <c r="F42" s="27" t="str">
        <f>"2036-2038"</f>
        <v>2036-2038</v>
      </c>
      <c r="G42" s="27" t="str">
        <f t="shared" si="33"/>
        <v>да</v>
      </c>
      <c r="H42" s="27" t="str">
        <f>"2010"</f>
        <v>2010</v>
      </c>
      <c r="I42" s="27" t="str">
        <f>"19,00"</f>
        <v>19,00</v>
      </c>
      <c r="J42" s="27" t="str">
        <f>"2026-2028"</f>
        <v>2026-2028</v>
      </c>
      <c r="K42" s="27" t="str">
        <f t="shared" si="0"/>
        <v>нет</v>
      </c>
      <c r="L42" s="27" t="str">
        <f>""</f>
        <v/>
      </c>
      <c r="M42" s="27" t="str">
        <f>""</f>
        <v/>
      </c>
      <c r="N42" s="27" t="str">
        <f>""</f>
        <v/>
      </c>
      <c r="O42" s="28" t="str">
        <f>""</f>
        <v/>
      </c>
      <c r="P42" s="27" t="str">
        <f>"12,00"</f>
        <v>12,00</v>
      </c>
      <c r="Q42" s="27" t="str">
        <f>"2030-2032"</f>
        <v>2030-2032</v>
      </c>
      <c r="R42" s="27" t="str">
        <f>"да"</f>
        <v>да</v>
      </c>
      <c r="S42" s="27" t="str">
        <f>"2010"</f>
        <v>2010</v>
      </c>
      <c r="T42" s="27" t="str">
        <f>"19,00"</f>
        <v>19,00</v>
      </c>
      <c r="U42" s="27" t="str">
        <f>"2026-2028"</f>
        <v>2026-2028</v>
      </c>
      <c r="V42" s="27" t="str">
        <f t="shared" si="1"/>
        <v>нет</v>
      </c>
      <c r="W42" s="27" t="str">
        <f>""</f>
        <v/>
      </c>
      <c r="X42" s="27" t="str">
        <f>""</f>
        <v/>
      </c>
      <c r="Y42" s="29" t="str">
        <f>""</f>
        <v/>
      </c>
      <c r="Z42" s="27" t="str">
        <f t="shared" si="34"/>
        <v>х</v>
      </c>
      <c r="AA42" s="27" t="str">
        <f t="shared" si="38"/>
        <v>х</v>
      </c>
      <c r="AB42" s="27" t="str">
        <f t="shared" si="38"/>
        <v>х</v>
      </c>
      <c r="AC42" s="27" t="str">
        <f t="shared" si="3"/>
        <v>нет</v>
      </c>
      <c r="AD42" s="27" t="str">
        <f t="shared" si="36"/>
        <v>х</v>
      </c>
      <c r="AE42" s="27" t="str">
        <f t="shared" si="36"/>
        <v>х</v>
      </c>
      <c r="AF42" s="27" t="str">
        <f t="shared" si="36"/>
        <v>х</v>
      </c>
      <c r="AG42" s="27" t="str">
        <f t="shared" si="5"/>
        <v>нет</v>
      </c>
      <c r="AH42" s="27" t="str">
        <f t="shared" si="37"/>
        <v>х</v>
      </c>
      <c r="AI42" s="27" t="str">
        <f t="shared" si="37"/>
        <v>х</v>
      </c>
      <c r="AJ42" s="27" t="str">
        <f t="shared" si="37"/>
        <v>х</v>
      </c>
      <c r="AK42" s="28" t="str">
        <f>""</f>
        <v/>
      </c>
      <c r="AL42" s="27" t="str">
        <f>"10,00"</f>
        <v>10,00</v>
      </c>
      <c r="AM42" s="27" t="str">
        <f>"2040-2042"</f>
        <v>2040-2042</v>
      </c>
      <c r="AN42" s="30" t="str">
        <f>"да"</f>
        <v>да</v>
      </c>
      <c r="AO42" s="27" t="str">
        <f>"2010"</f>
        <v>2010</v>
      </c>
      <c r="AP42" s="27" t="str">
        <f>"50,00"</f>
        <v>50,00</v>
      </c>
      <c r="AQ42" s="27" t="str">
        <f>"2016-2018"</f>
        <v>2016-2018</v>
      </c>
      <c r="AR42" s="27" t="str">
        <f t="shared" si="8"/>
        <v>нет</v>
      </c>
      <c r="AS42" s="27" t="str">
        <f>""</f>
        <v/>
      </c>
      <c r="AT42" s="27" t="str">
        <f>""</f>
        <v/>
      </c>
      <c r="AU42" s="27" t="str">
        <f>""</f>
        <v/>
      </c>
      <c r="AV42" s="27" t="str">
        <f>""</f>
        <v/>
      </c>
      <c r="AW42" s="27" t="str">
        <f>"6,00"</f>
        <v>6,00</v>
      </c>
      <c r="AX42" s="27" t="str">
        <f>"2045-2047"</f>
        <v>2045-2047</v>
      </c>
      <c r="AY42" s="27" t="str">
        <f t="shared" si="9"/>
        <v>нет</v>
      </c>
      <c r="AZ42" s="27" t="str">
        <f>""</f>
        <v/>
      </c>
      <c r="BA42" s="27" t="str">
        <f>""</f>
        <v/>
      </c>
      <c r="BB42" s="27" t="str">
        <f>""</f>
        <v/>
      </c>
      <c r="BC42" s="27" t="str">
        <f t="shared" si="10"/>
        <v>нет</v>
      </c>
      <c r="BD42" s="27" t="str">
        <f>""</f>
        <v/>
      </c>
      <c r="BE42" s="27" t="str">
        <f>""</f>
        <v/>
      </c>
      <c r="BF42" s="27" t="str">
        <f>""</f>
        <v/>
      </c>
      <c r="BG42" s="27" t="str">
        <f>""</f>
        <v/>
      </c>
      <c r="BH42" s="27" t="str">
        <f>"20,00"</f>
        <v>20,00</v>
      </c>
      <c r="BI42" s="27" t="str">
        <f>"2038-2040"</f>
        <v>2038-2040</v>
      </c>
      <c r="BJ42" s="27" t="str">
        <f t="shared" si="11"/>
        <v>нет</v>
      </c>
      <c r="BK42" s="27" t="str">
        <f t="shared" si="39"/>
        <v>x</v>
      </c>
      <c r="BL42" s="27" t="str">
        <f>"6,00"</f>
        <v>6,00</v>
      </c>
      <c r="BM42" s="27" t="str">
        <f>"2045-2047"</f>
        <v>2045-2047</v>
      </c>
      <c r="BN42" s="27" t="str">
        <f>""</f>
        <v/>
      </c>
      <c r="BO42" s="27" t="str">
        <f>"8,00"</f>
        <v>8,00</v>
      </c>
      <c r="BP42" s="27" t="str">
        <f>"2040-2042"</f>
        <v>2040-2042</v>
      </c>
      <c r="BQ42" s="27" t="str">
        <f>""</f>
        <v/>
      </c>
      <c r="BR42" s="27" t="str">
        <f>"6,00"</f>
        <v>6,00</v>
      </c>
      <c r="BS42" s="27" t="str">
        <f>"2045-2047"</f>
        <v>2045-2047</v>
      </c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</row>
    <row r="43" spans="1:119" s="10" customFormat="1" ht="11.25" customHeight="1">
      <c r="A43" s="24" t="str">
        <f>"1.30"</f>
        <v>1.30</v>
      </c>
      <c r="B43" s="25" t="str">
        <f>"г. Кириллов, ул. Дзержинского, д.5"</f>
        <v>г. Кириллов, ул. Дзержинского, д.5</v>
      </c>
      <c r="C43" s="26" t="str">
        <f>"1983"</f>
        <v>1983</v>
      </c>
      <c r="D43" s="27" t="str">
        <f>""</f>
        <v/>
      </c>
      <c r="E43" s="27" t="str">
        <f>"90,00"</f>
        <v>90,00</v>
      </c>
      <c r="F43" s="27" t="str">
        <f>"2023-2025"</f>
        <v>2023-2025</v>
      </c>
      <c r="G43" s="27" t="str">
        <f t="shared" si="33"/>
        <v>да</v>
      </c>
      <c r="H43" s="27" t="str">
        <f>"2011"</f>
        <v>2011</v>
      </c>
      <c r="I43" s="27" t="str">
        <f>"13,00"</f>
        <v>13,00</v>
      </c>
      <c r="J43" s="27" t="str">
        <f>"2027-2029"</f>
        <v>2027-2029</v>
      </c>
      <c r="K43" s="27" t="str">
        <f t="shared" si="0"/>
        <v>нет</v>
      </c>
      <c r="L43" s="27" t="str">
        <f>""</f>
        <v/>
      </c>
      <c r="M43" s="27" t="str">
        <f>""</f>
        <v/>
      </c>
      <c r="N43" s="27" t="str">
        <f>""</f>
        <v/>
      </c>
      <c r="O43" s="28" t="str">
        <f>""</f>
        <v/>
      </c>
      <c r="P43" s="27" t="str">
        <f>"75,00"</f>
        <v>75,00</v>
      </c>
      <c r="Q43" s="27" t="str">
        <f>"2026-2028"</f>
        <v>2026-2028</v>
      </c>
      <c r="R43" s="27" t="str">
        <f>"да"</f>
        <v>да</v>
      </c>
      <c r="S43" s="27" t="str">
        <f>"2012"</f>
        <v>2012</v>
      </c>
      <c r="T43" s="27" t="str">
        <f>"6,00"</f>
        <v>6,00</v>
      </c>
      <c r="U43" s="27" t="str">
        <f>"2029-2031"</f>
        <v>2029-2031</v>
      </c>
      <c r="V43" s="27" t="str">
        <f t="shared" si="1"/>
        <v>нет</v>
      </c>
      <c r="W43" s="27" t="str">
        <f>""</f>
        <v/>
      </c>
      <c r="X43" s="27" t="str">
        <f>""</f>
        <v/>
      </c>
      <c r="Y43" s="29" t="str">
        <f>""</f>
        <v/>
      </c>
      <c r="Z43" s="27" t="str">
        <f t="shared" si="34"/>
        <v>х</v>
      </c>
      <c r="AA43" s="27" t="str">
        <f>"44,00"</f>
        <v>44,00</v>
      </c>
      <c r="AB43" s="27" t="str">
        <f>"2030-2032"</f>
        <v>2030-2032</v>
      </c>
      <c r="AC43" s="27" t="str">
        <f t="shared" si="3"/>
        <v>нет</v>
      </c>
      <c r="AD43" s="27" t="str">
        <f t="shared" si="36"/>
        <v>х</v>
      </c>
      <c r="AE43" s="27" t="str">
        <f t="shared" si="36"/>
        <v>х</v>
      </c>
      <c r="AF43" s="27" t="str">
        <f t="shared" si="36"/>
        <v>х</v>
      </c>
      <c r="AG43" s="27" t="str">
        <f t="shared" si="5"/>
        <v>нет</v>
      </c>
      <c r="AH43" s="27" t="str">
        <f t="shared" si="37"/>
        <v>х</v>
      </c>
      <c r="AI43" s="27" t="str">
        <f t="shared" si="37"/>
        <v>х</v>
      </c>
      <c r="AJ43" s="27" t="str">
        <f t="shared" si="37"/>
        <v>х</v>
      </c>
      <c r="AK43" s="28" t="str">
        <f>""</f>
        <v/>
      </c>
      <c r="AL43" s="27" t="str">
        <f>"90,00"</f>
        <v>90,00</v>
      </c>
      <c r="AM43" s="27" t="str">
        <f>"2028-2030"</f>
        <v>2028-2030</v>
      </c>
      <c r="AN43" s="30" t="str">
        <f>"нет"</f>
        <v>нет</v>
      </c>
      <c r="AO43" s="27" t="str">
        <f>""</f>
        <v/>
      </c>
      <c r="AP43" s="27" t="str">
        <f>""</f>
        <v/>
      </c>
      <c r="AQ43" s="27" t="str">
        <f>""</f>
        <v/>
      </c>
      <c r="AR43" s="27" t="str">
        <f t="shared" si="8"/>
        <v>нет</v>
      </c>
      <c r="AS43" s="27" t="str">
        <f>""</f>
        <v/>
      </c>
      <c r="AT43" s="27" t="str">
        <f>""</f>
        <v/>
      </c>
      <c r="AU43" s="27" t="str">
        <f>""</f>
        <v/>
      </c>
      <c r="AV43" s="27" t="str">
        <f>""</f>
        <v/>
      </c>
      <c r="AW43" s="27" t="str">
        <f>"70,00"</f>
        <v>70,00</v>
      </c>
      <c r="AX43" s="27" t="str">
        <f>"2017-2019"</f>
        <v>2017-2019</v>
      </c>
      <c r="AY43" s="27" t="str">
        <f t="shared" si="9"/>
        <v>нет</v>
      </c>
      <c r="AZ43" s="27" t="str">
        <f>""</f>
        <v/>
      </c>
      <c r="BA43" s="27" t="str">
        <f>""</f>
        <v/>
      </c>
      <c r="BB43" s="27" t="str">
        <f>""</f>
        <v/>
      </c>
      <c r="BC43" s="27" t="str">
        <f t="shared" si="10"/>
        <v>нет</v>
      </c>
      <c r="BD43" s="27" t="str">
        <f>""</f>
        <v/>
      </c>
      <c r="BE43" s="27" t="str">
        <f>""</f>
        <v/>
      </c>
      <c r="BF43" s="27" t="str">
        <f>""</f>
        <v/>
      </c>
      <c r="BG43" s="27" t="str">
        <f>""</f>
        <v/>
      </c>
      <c r="BH43" s="27" t="str">
        <f>"60,00"</f>
        <v>60,00</v>
      </c>
      <c r="BI43" s="27" t="str">
        <f>"2030-2032"</f>
        <v>2030-2032</v>
      </c>
      <c r="BJ43" s="27" t="str">
        <f t="shared" si="11"/>
        <v>нет</v>
      </c>
      <c r="BK43" s="27" t="str">
        <f t="shared" si="39"/>
        <v>x</v>
      </c>
      <c r="BL43" s="27" t="str">
        <f>"40,00"</f>
        <v>40,00</v>
      </c>
      <c r="BM43" s="27" t="str">
        <f>"2032-2034"</f>
        <v>2032-2034</v>
      </c>
      <c r="BN43" s="27" t="str">
        <f>""</f>
        <v/>
      </c>
      <c r="BO43" s="27" t="str">
        <f>"60,00"</f>
        <v>60,00</v>
      </c>
      <c r="BP43" s="27" t="str">
        <f>"2032-2034"</f>
        <v>2032-2034</v>
      </c>
      <c r="BQ43" s="27" t="str">
        <f>""</f>
        <v/>
      </c>
      <c r="BR43" s="27" t="str">
        <f>"40,00"</f>
        <v>40,00</v>
      </c>
      <c r="BS43" s="27" t="str">
        <f>"2032-2034"</f>
        <v>2032-2034</v>
      </c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</row>
    <row r="44" spans="1:119" s="10" customFormat="1" ht="11.25" customHeight="1">
      <c r="A44" s="24" t="str">
        <f>"1.31"</f>
        <v>1.31</v>
      </c>
      <c r="B44" s="25" t="str">
        <f>"г. Кириллов, ул. Дзержинского, д.7"</f>
        <v>г. Кириллов, ул. Дзержинского, д.7</v>
      </c>
      <c r="C44" s="26" t="str">
        <f>"1980"</f>
        <v>1980</v>
      </c>
      <c r="D44" s="27" t="str">
        <f>""</f>
        <v/>
      </c>
      <c r="E44" s="27" t="str">
        <f>"90,00"</f>
        <v>90,00</v>
      </c>
      <c r="F44" s="27" t="str">
        <f>"2027-2029"</f>
        <v>2027-2029</v>
      </c>
      <c r="G44" s="27" t="str">
        <f t="shared" si="33"/>
        <v>да</v>
      </c>
      <c r="H44" s="27" t="str">
        <f>"2009"</f>
        <v>2009</v>
      </c>
      <c r="I44" s="27" t="str">
        <f>"25,00"</f>
        <v>25,00</v>
      </c>
      <c r="J44" s="27" t="str">
        <f>"2025-2027"</f>
        <v>2025-2027</v>
      </c>
      <c r="K44" s="27" t="str">
        <f t="shared" si="0"/>
        <v>нет</v>
      </c>
      <c r="L44" s="27" t="str">
        <f>""</f>
        <v/>
      </c>
      <c r="M44" s="27" t="str">
        <f>""</f>
        <v/>
      </c>
      <c r="N44" s="27" t="str">
        <f>""</f>
        <v/>
      </c>
      <c r="O44" s="28" t="str">
        <f>""</f>
        <v/>
      </c>
      <c r="P44" s="27" t="str">
        <f>"80,00"</f>
        <v>80,00</v>
      </c>
      <c r="Q44" s="27" t="str">
        <f>"2016-2018"</f>
        <v>2016-2018</v>
      </c>
      <c r="R44" s="27" t="str">
        <f>"да"</f>
        <v>да</v>
      </c>
      <c r="S44" s="27" t="str">
        <f>"2011"</f>
        <v>2011</v>
      </c>
      <c r="T44" s="27" t="str">
        <f>"12,00"</f>
        <v>12,00</v>
      </c>
      <c r="U44" s="27" t="str">
        <f>"2027-2029"</f>
        <v>2027-2029</v>
      </c>
      <c r="V44" s="27" t="str">
        <f t="shared" si="1"/>
        <v>нет</v>
      </c>
      <c r="W44" s="27" t="str">
        <f>""</f>
        <v/>
      </c>
      <c r="X44" s="27" t="str">
        <f>""</f>
        <v/>
      </c>
      <c r="Y44" s="29" t="str">
        <f>""</f>
        <v/>
      </c>
      <c r="Z44" s="27" t="str">
        <f t="shared" si="34"/>
        <v>х</v>
      </c>
      <c r="AA44" s="27" t="str">
        <f>"62,00"</f>
        <v>62,00</v>
      </c>
      <c r="AB44" s="27" t="str">
        <f>"2024-2026"</f>
        <v>2024-2026</v>
      </c>
      <c r="AC44" s="27" t="str">
        <f t="shared" si="3"/>
        <v>нет</v>
      </c>
      <c r="AD44" s="27" t="str">
        <f t="shared" si="36"/>
        <v>х</v>
      </c>
      <c r="AE44" s="27" t="str">
        <f t="shared" si="36"/>
        <v>х</v>
      </c>
      <c r="AF44" s="27" t="str">
        <f t="shared" si="36"/>
        <v>х</v>
      </c>
      <c r="AG44" s="27" t="str">
        <f t="shared" si="5"/>
        <v>нет</v>
      </c>
      <c r="AH44" s="27" t="str">
        <f t="shared" si="37"/>
        <v>х</v>
      </c>
      <c r="AI44" s="27" t="str">
        <f t="shared" si="37"/>
        <v>х</v>
      </c>
      <c r="AJ44" s="27" t="str">
        <f t="shared" si="37"/>
        <v>х</v>
      </c>
      <c r="AK44" s="28" t="str">
        <f>""</f>
        <v/>
      </c>
      <c r="AL44" s="27" t="str">
        <f>"90,00"</f>
        <v>90,00</v>
      </c>
      <c r="AM44" s="27" t="str">
        <f>"2022-2024"</f>
        <v>2022-2024</v>
      </c>
      <c r="AN44" s="30">
        <v>2015</v>
      </c>
      <c r="AO44" s="27" t="str">
        <f>""</f>
        <v/>
      </c>
      <c r="AP44" s="27" t="str">
        <f>""</f>
        <v/>
      </c>
      <c r="AQ44" s="27">
        <v>2030</v>
      </c>
      <c r="AR44" s="27" t="str">
        <f t="shared" si="8"/>
        <v>нет</v>
      </c>
      <c r="AS44" s="27" t="str">
        <f>""</f>
        <v/>
      </c>
      <c r="AT44" s="27" t="str">
        <f>""</f>
        <v/>
      </c>
      <c r="AU44" s="27" t="str">
        <f>""</f>
        <v/>
      </c>
      <c r="AV44" s="27" t="str">
        <f>""</f>
        <v/>
      </c>
      <c r="AW44" s="27" t="str">
        <f>"66,00"</f>
        <v>66,00</v>
      </c>
      <c r="AX44" s="27" t="str">
        <f>"2025-2027"</f>
        <v>2025-2027</v>
      </c>
      <c r="AY44" s="27" t="str">
        <f t="shared" si="9"/>
        <v>нет</v>
      </c>
      <c r="AZ44" s="27" t="str">
        <f>""</f>
        <v/>
      </c>
      <c r="BA44" s="27" t="str">
        <f>""</f>
        <v/>
      </c>
      <c r="BB44" s="27" t="str">
        <f>""</f>
        <v/>
      </c>
      <c r="BC44" s="27" t="str">
        <f t="shared" si="10"/>
        <v>нет</v>
      </c>
      <c r="BD44" s="27" t="str">
        <f>""</f>
        <v/>
      </c>
      <c r="BE44" s="27" t="str">
        <f>""</f>
        <v/>
      </c>
      <c r="BF44" s="27" t="str">
        <f>""</f>
        <v/>
      </c>
      <c r="BG44" s="27" t="str">
        <f>"1995"</f>
        <v>1995</v>
      </c>
      <c r="BH44" s="27" t="str">
        <f>"45,00"</f>
        <v>45,00</v>
      </c>
      <c r="BI44" s="27" t="str">
        <f>"2038-2040"</f>
        <v>2038-2040</v>
      </c>
      <c r="BJ44" s="27" t="str">
        <f t="shared" si="11"/>
        <v>нет</v>
      </c>
      <c r="BK44" s="27" t="str">
        <f t="shared" si="39"/>
        <v>x</v>
      </c>
      <c r="BL44" s="27" t="str">
        <f>"40,00"</f>
        <v>40,00</v>
      </c>
      <c r="BM44" s="27" t="str">
        <f>"2027-2029"</f>
        <v>2027-2029</v>
      </c>
      <c r="BN44" s="27" t="str">
        <f>""</f>
        <v/>
      </c>
      <c r="BO44" s="27" t="str">
        <f>"60,00"</f>
        <v>60,00</v>
      </c>
      <c r="BP44" s="27" t="str">
        <f>"2024-2026"</f>
        <v>2024-2026</v>
      </c>
      <c r="BQ44" s="27" t="str">
        <f>""</f>
        <v/>
      </c>
      <c r="BR44" s="27" t="str">
        <f>"40,00"</f>
        <v>40,00</v>
      </c>
      <c r="BS44" s="27" t="str">
        <f>"2027-2029"</f>
        <v>2027-2029</v>
      </c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</row>
    <row r="45" spans="1:119" s="10" customFormat="1" ht="11.25" customHeight="1">
      <c r="A45" s="24" t="str">
        <f>"1.32"</f>
        <v>1.32</v>
      </c>
      <c r="B45" s="25" t="str">
        <f>"г. Кириллов, ул. Завальная, д.15"</f>
        <v>г. Кириллов, ул. Завальная, д.15</v>
      </c>
      <c r="C45" s="26" t="str">
        <f>"1994"</f>
        <v>1994</v>
      </c>
      <c r="D45" s="27" t="str">
        <f>"2008"</f>
        <v>2008</v>
      </c>
      <c r="E45" s="27" t="str">
        <f>"25,00"</f>
        <v>25,00</v>
      </c>
      <c r="F45" s="27" t="str">
        <f>"2030-2032"</f>
        <v>2030-2032</v>
      </c>
      <c r="G45" s="27" t="str">
        <f t="shared" si="33"/>
        <v>да</v>
      </c>
      <c r="H45" s="27" t="str">
        <f>"2008"</f>
        <v>2008</v>
      </c>
      <c r="I45" s="27" t="str">
        <f>"31,00"</f>
        <v>31,00</v>
      </c>
      <c r="J45" s="27" t="str">
        <f>"2024-2026"</f>
        <v>2024-2026</v>
      </c>
      <c r="K45" s="27" t="str">
        <f t="shared" si="0"/>
        <v>нет</v>
      </c>
      <c r="L45" s="27" t="str">
        <f>""</f>
        <v/>
      </c>
      <c r="M45" s="27" t="str">
        <f>""</f>
        <v/>
      </c>
      <c r="N45" s="27" t="str">
        <f>""</f>
        <v/>
      </c>
      <c r="O45" s="28" t="str">
        <f>""</f>
        <v/>
      </c>
      <c r="P45" s="27" t="str">
        <f>""</f>
        <v/>
      </c>
      <c r="Q45" s="27" t="str">
        <f>""</f>
        <v/>
      </c>
      <c r="R45" s="27" t="str">
        <f>"нет"</f>
        <v>нет</v>
      </c>
      <c r="S45" s="27" t="str">
        <f>""</f>
        <v/>
      </c>
      <c r="T45" s="27" t="str">
        <f>""</f>
        <v/>
      </c>
      <c r="U45" s="27" t="str">
        <f>""</f>
        <v/>
      </c>
      <c r="V45" s="27" t="str">
        <f t="shared" si="1"/>
        <v>нет</v>
      </c>
      <c r="W45" s="27" t="str">
        <f>""</f>
        <v/>
      </c>
      <c r="X45" s="27" t="str">
        <f>""</f>
        <v/>
      </c>
      <c r="Y45" s="29" t="str">
        <f>""</f>
        <v/>
      </c>
      <c r="Z45" s="27" t="str">
        <f t="shared" si="34"/>
        <v>х</v>
      </c>
      <c r="AA45" s="27" t="str">
        <f t="shared" ref="AA45:AB51" si="40">"х"</f>
        <v>х</v>
      </c>
      <c r="AB45" s="27" t="str">
        <f t="shared" si="40"/>
        <v>х</v>
      </c>
      <c r="AC45" s="27" t="str">
        <f t="shared" si="3"/>
        <v>нет</v>
      </c>
      <c r="AD45" s="27" t="str">
        <f t="shared" si="36"/>
        <v>х</v>
      </c>
      <c r="AE45" s="27" t="str">
        <f t="shared" si="36"/>
        <v>х</v>
      </c>
      <c r="AF45" s="27" t="str">
        <f t="shared" si="36"/>
        <v>х</v>
      </c>
      <c r="AG45" s="27" t="str">
        <f t="shared" si="5"/>
        <v>нет</v>
      </c>
      <c r="AH45" s="27" t="str">
        <f t="shared" si="37"/>
        <v>х</v>
      </c>
      <c r="AI45" s="27" t="str">
        <f t="shared" si="37"/>
        <v>х</v>
      </c>
      <c r="AJ45" s="27" t="str">
        <f t="shared" si="37"/>
        <v>х</v>
      </c>
      <c r="AK45" s="28" t="str">
        <f>""</f>
        <v/>
      </c>
      <c r="AL45" s="27" t="str">
        <f>"63,00"</f>
        <v>63,00</v>
      </c>
      <c r="AM45" s="27" t="str">
        <f>"2021-2023"</f>
        <v>2021-2023</v>
      </c>
      <c r="AN45" s="30" t="str">
        <f>"нет"</f>
        <v>нет</v>
      </c>
      <c r="AO45" s="27" t="str">
        <f>""</f>
        <v/>
      </c>
      <c r="AP45" s="27" t="str">
        <f>""</f>
        <v/>
      </c>
      <c r="AQ45" s="27" t="str">
        <f>""</f>
        <v/>
      </c>
      <c r="AR45" s="27" t="str">
        <f t="shared" si="8"/>
        <v>нет</v>
      </c>
      <c r="AS45" s="27" t="str">
        <f>""</f>
        <v/>
      </c>
      <c r="AT45" s="27" t="str">
        <f>""</f>
        <v/>
      </c>
      <c r="AU45" s="27" t="str">
        <f>""</f>
        <v/>
      </c>
      <c r="AV45" s="27" t="str">
        <f>""</f>
        <v/>
      </c>
      <c r="AW45" s="27" t="str">
        <f>"38,00"</f>
        <v>38,00</v>
      </c>
      <c r="AX45" s="27" t="str">
        <f>"2034-2036"</f>
        <v>2034-2036</v>
      </c>
      <c r="AY45" s="27" t="str">
        <f t="shared" si="9"/>
        <v>нет</v>
      </c>
      <c r="AZ45" s="27" t="str">
        <f>""</f>
        <v/>
      </c>
      <c r="BA45" s="27" t="str">
        <f>""</f>
        <v/>
      </c>
      <c r="BB45" s="27" t="str">
        <f>""</f>
        <v/>
      </c>
      <c r="BC45" s="27" t="str">
        <f t="shared" si="10"/>
        <v>нет</v>
      </c>
      <c r="BD45" s="27" t="str">
        <f>""</f>
        <v/>
      </c>
      <c r="BE45" s="27" t="str">
        <f>""</f>
        <v/>
      </c>
      <c r="BF45" s="27" t="str">
        <f>""</f>
        <v/>
      </c>
      <c r="BG45" s="27" t="str">
        <f>""</f>
        <v/>
      </c>
      <c r="BH45" s="27" t="str">
        <f>"48,00"</f>
        <v>48,00</v>
      </c>
      <c r="BI45" s="27" t="str">
        <f>"2032-2034"</f>
        <v>2032-2034</v>
      </c>
      <c r="BJ45" s="27" t="str">
        <f t="shared" si="11"/>
        <v>нет</v>
      </c>
      <c r="BK45" s="27" t="str">
        <f t="shared" si="39"/>
        <v>x</v>
      </c>
      <c r="BL45" s="27" t="str">
        <f>"34,00"</f>
        <v>34,00</v>
      </c>
      <c r="BM45" s="27" t="str">
        <f>"2035-2037"</f>
        <v>2035-2037</v>
      </c>
      <c r="BN45" s="27" t="str">
        <f>""</f>
        <v/>
      </c>
      <c r="BO45" s="27" t="str">
        <f>"45,00"</f>
        <v>45,00</v>
      </c>
      <c r="BP45" s="27" t="str">
        <f>"2035-2037"</f>
        <v>2035-2037</v>
      </c>
      <c r="BQ45" s="27" t="str">
        <f>""</f>
        <v/>
      </c>
      <c r="BR45" s="27" t="str">
        <f>"34,00"</f>
        <v>34,00</v>
      </c>
      <c r="BS45" s="27" t="str">
        <f>"2035-2037"</f>
        <v>2035-2037</v>
      </c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</row>
    <row r="46" spans="1:119" s="9" customFormat="1" ht="11.25" customHeight="1">
      <c r="A46" s="24" t="str">
        <f>"1.33"</f>
        <v>1.33</v>
      </c>
      <c r="B46" s="25" t="str">
        <f>"г. Кириллов, ул. Красноармейская, д.31"</f>
        <v>г. Кириллов, ул. Красноармейская, д.31</v>
      </c>
      <c r="C46" s="26" t="str">
        <f>"1976"</f>
        <v>1976</v>
      </c>
      <c r="D46" s="27" t="str">
        <f>"2009"</f>
        <v>2009</v>
      </c>
      <c r="E46" s="27" t="str">
        <f>"20,00"</f>
        <v>20,00</v>
      </c>
      <c r="F46" s="27" t="str">
        <f>"2030-2032"</f>
        <v>2030-2032</v>
      </c>
      <c r="G46" s="27" t="str">
        <f t="shared" si="33"/>
        <v>да</v>
      </c>
      <c r="H46" s="27" t="str">
        <f>"2009"</f>
        <v>2009</v>
      </c>
      <c r="I46" s="27" t="str">
        <f>"25,00"</f>
        <v>25,00</v>
      </c>
      <c r="J46" s="27" t="str">
        <f>"2025-2027"</f>
        <v>2025-2027</v>
      </c>
      <c r="K46" s="27" t="str">
        <f t="shared" ref="K46:K64" si="41">"нет"</f>
        <v>нет</v>
      </c>
      <c r="L46" s="27" t="str">
        <f>""</f>
        <v/>
      </c>
      <c r="M46" s="27" t="str">
        <f>""</f>
        <v/>
      </c>
      <c r="N46" s="27" t="str">
        <f>""</f>
        <v/>
      </c>
      <c r="O46" s="28" t="str">
        <f>""</f>
        <v/>
      </c>
      <c r="P46" s="27" t="str">
        <f>""</f>
        <v/>
      </c>
      <c r="Q46" s="27" t="str">
        <f>""</f>
        <v/>
      </c>
      <c r="R46" s="27" t="str">
        <f>"нет"</f>
        <v>нет</v>
      </c>
      <c r="S46" s="27" t="str">
        <f>""</f>
        <v/>
      </c>
      <c r="T46" s="27" t="str">
        <f>""</f>
        <v/>
      </c>
      <c r="U46" s="27" t="str">
        <f>""</f>
        <v/>
      </c>
      <c r="V46" s="27" t="str">
        <f t="shared" ref="V46:V64" si="42">"нет"</f>
        <v>нет</v>
      </c>
      <c r="W46" s="27" t="str">
        <f>""</f>
        <v/>
      </c>
      <c r="X46" s="27" t="str">
        <f>""</f>
        <v/>
      </c>
      <c r="Y46" s="29" t="str">
        <f>""</f>
        <v/>
      </c>
      <c r="Z46" s="27" t="str">
        <f t="shared" si="34"/>
        <v>х</v>
      </c>
      <c r="AA46" s="27" t="str">
        <f t="shared" si="40"/>
        <v>х</v>
      </c>
      <c r="AB46" s="27" t="str">
        <f t="shared" si="40"/>
        <v>х</v>
      </c>
      <c r="AC46" s="27" t="str">
        <f t="shared" ref="AC46:AC64" si="43">"нет"</f>
        <v>нет</v>
      </c>
      <c r="AD46" s="27" t="str">
        <f t="shared" si="36"/>
        <v>х</v>
      </c>
      <c r="AE46" s="27" t="str">
        <f t="shared" si="36"/>
        <v>х</v>
      </c>
      <c r="AF46" s="27" t="str">
        <f t="shared" si="36"/>
        <v>х</v>
      </c>
      <c r="AG46" s="27" t="str">
        <f t="shared" si="5"/>
        <v>нет</v>
      </c>
      <c r="AH46" s="27" t="str">
        <f t="shared" si="37"/>
        <v>х</v>
      </c>
      <c r="AI46" s="27" t="str">
        <f t="shared" si="37"/>
        <v>х</v>
      </c>
      <c r="AJ46" s="27" t="str">
        <f t="shared" si="37"/>
        <v>х</v>
      </c>
      <c r="AK46" s="28" t="str">
        <f t="shared" ref="AK46:AM47" si="44">"х"</f>
        <v>х</v>
      </c>
      <c r="AL46" s="27" t="str">
        <f t="shared" si="44"/>
        <v>х</v>
      </c>
      <c r="AM46" s="27" t="str">
        <f t="shared" si="44"/>
        <v>х</v>
      </c>
      <c r="AN46" s="30" t="str">
        <f>"нет"</f>
        <v>нет</v>
      </c>
      <c r="AO46" s="27" t="str">
        <f t="shared" ref="AO46:AQ47" si="45">"х"</f>
        <v>х</v>
      </c>
      <c r="AP46" s="27" t="str">
        <f t="shared" si="45"/>
        <v>х</v>
      </c>
      <c r="AQ46" s="27" t="str">
        <f t="shared" si="45"/>
        <v>х</v>
      </c>
      <c r="AR46" s="27" t="str">
        <f t="shared" ref="AR46:AR64" si="46">"нет"</f>
        <v>нет</v>
      </c>
      <c r="AS46" s="27" t="str">
        <f t="shared" ref="AS46:AU47" si="47">"х"</f>
        <v>х</v>
      </c>
      <c r="AT46" s="27" t="str">
        <f t="shared" si="47"/>
        <v>х</v>
      </c>
      <c r="AU46" s="27" t="str">
        <f t="shared" si="47"/>
        <v>х</v>
      </c>
      <c r="AV46" s="27" t="str">
        <f t="shared" ref="AV46:AX47" si="48">"х"</f>
        <v>х</v>
      </c>
      <c r="AW46" s="27" t="str">
        <f t="shared" si="48"/>
        <v>х</v>
      </c>
      <c r="AX46" s="27" t="str">
        <f t="shared" si="48"/>
        <v>х</v>
      </c>
      <c r="AY46" s="27" t="str">
        <f t="shared" ref="AY46:AY64" si="49">"нет"</f>
        <v>нет</v>
      </c>
      <c r="AZ46" s="27" t="str">
        <f t="shared" ref="AZ46:BB47" si="50">"х"</f>
        <v>х</v>
      </c>
      <c r="BA46" s="27" t="str">
        <f t="shared" si="50"/>
        <v>х</v>
      </c>
      <c r="BB46" s="27" t="str">
        <f t="shared" si="50"/>
        <v>х</v>
      </c>
      <c r="BC46" s="27" t="str">
        <f t="shared" ref="BC46:BC64" si="51">"нет"</f>
        <v>нет</v>
      </c>
      <c r="BD46" s="27" t="str">
        <f t="shared" ref="BD46:BF47" si="52">"х"</f>
        <v>х</v>
      </c>
      <c r="BE46" s="27" t="str">
        <f t="shared" si="52"/>
        <v>х</v>
      </c>
      <c r="BF46" s="27" t="str">
        <f t="shared" si="52"/>
        <v>х</v>
      </c>
      <c r="BG46" s="27" t="str">
        <f>"2009"</f>
        <v>2009</v>
      </c>
      <c r="BH46" s="27" t="str">
        <f>"27,00"</f>
        <v>27,00</v>
      </c>
      <c r="BI46" s="27" t="str">
        <f>"2032-2034"</f>
        <v>2032-2034</v>
      </c>
      <c r="BJ46" s="27" t="str">
        <f t="shared" ref="BJ46:BJ77" si="53">"нет"</f>
        <v>нет</v>
      </c>
      <c r="BK46" s="27" t="str">
        <f t="shared" si="39"/>
        <v>x</v>
      </c>
      <c r="BL46" s="27" t="str">
        <f>"60,00"</f>
        <v>60,00</v>
      </c>
      <c r="BM46" s="27" t="str">
        <f>"2026-2028"</f>
        <v>2026-2028</v>
      </c>
      <c r="BN46" s="27" t="str">
        <f>"2009"</f>
        <v>2009</v>
      </c>
      <c r="BO46" s="27" t="str">
        <f>"8,00"</f>
        <v>8,00</v>
      </c>
      <c r="BP46" s="27" t="str">
        <f>"2039-2041"</f>
        <v>2039-2041</v>
      </c>
      <c r="BQ46" s="27" t="str">
        <f>""</f>
        <v/>
      </c>
      <c r="BR46" s="27" t="str">
        <f>"60,00"</f>
        <v>60,00</v>
      </c>
      <c r="BS46" s="27" t="str">
        <f>"2026-2028"</f>
        <v>2026-2028</v>
      </c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</row>
    <row r="47" spans="1:119" s="10" customFormat="1" ht="11.25" customHeight="1">
      <c r="A47" s="24" t="str">
        <f>"1.34"</f>
        <v>1.34</v>
      </c>
      <c r="B47" s="25" t="str">
        <f>"г. Кириллов, ул. Кузьминка, д.4"</f>
        <v>г. Кириллов, ул. Кузьминка, д.4</v>
      </c>
      <c r="C47" s="26" t="str">
        <f>"1927"</f>
        <v>1927</v>
      </c>
      <c r="D47" s="27" t="str">
        <f>""</f>
        <v/>
      </c>
      <c r="E47" s="27" t="str">
        <f>"90,00"</f>
        <v>90,00</v>
      </c>
      <c r="F47" s="27" t="str">
        <f>"2025-2027"</f>
        <v>2025-2027</v>
      </c>
      <c r="G47" s="27" t="str">
        <f>"нет"</f>
        <v>нет</v>
      </c>
      <c r="H47" s="27" t="str">
        <f>""</f>
        <v/>
      </c>
      <c r="I47" s="27" t="str">
        <f>""</f>
        <v/>
      </c>
      <c r="J47" s="27" t="str">
        <f>""</f>
        <v/>
      </c>
      <c r="K47" s="27" t="str">
        <f t="shared" si="41"/>
        <v>нет</v>
      </c>
      <c r="L47" s="27" t="str">
        <f>""</f>
        <v/>
      </c>
      <c r="M47" s="27" t="str">
        <f>""</f>
        <v/>
      </c>
      <c r="N47" s="27" t="str">
        <f>""</f>
        <v/>
      </c>
      <c r="O47" s="28" t="str">
        <f>""</f>
        <v/>
      </c>
      <c r="P47" s="27" t="str">
        <f>""</f>
        <v/>
      </c>
      <c r="Q47" s="27" t="str">
        <f>""</f>
        <v/>
      </c>
      <c r="R47" s="27" t="str">
        <f>"нет"</f>
        <v>нет</v>
      </c>
      <c r="S47" s="27" t="str">
        <f>""</f>
        <v/>
      </c>
      <c r="T47" s="27" t="str">
        <f>""</f>
        <v/>
      </c>
      <c r="U47" s="27" t="str">
        <f>""</f>
        <v/>
      </c>
      <c r="V47" s="27" t="str">
        <f t="shared" si="42"/>
        <v>нет</v>
      </c>
      <c r="W47" s="27" t="str">
        <f>""</f>
        <v/>
      </c>
      <c r="X47" s="27" t="str">
        <f>""</f>
        <v/>
      </c>
      <c r="Y47" s="29" t="str">
        <f>""</f>
        <v/>
      </c>
      <c r="Z47" s="27" t="str">
        <f t="shared" si="34"/>
        <v>х</v>
      </c>
      <c r="AA47" s="27" t="str">
        <f t="shared" si="40"/>
        <v>х</v>
      </c>
      <c r="AB47" s="27" t="str">
        <f t="shared" si="40"/>
        <v>х</v>
      </c>
      <c r="AC47" s="27" t="str">
        <f t="shared" si="43"/>
        <v>нет</v>
      </c>
      <c r="AD47" s="27" t="str">
        <f t="shared" si="36"/>
        <v>х</v>
      </c>
      <c r="AE47" s="27" t="str">
        <f t="shared" si="36"/>
        <v>х</v>
      </c>
      <c r="AF47" s="27" t="str">
        <f t="shared" si="36"/>
        <v>х</v>
      </c>
      <c r="AG47" s="27" t="str">
        <f t="shared" si="5"/>
        <v>нет</v>
      </c>
      <c r="AH47" s="27" t="str">
        <f t="shared" si="37"/>
        <v>х</v>
      </c>
      <c r="AI47" s="27" t="str">
        <f t="shared" si="37"/>
        <v>х</v>
      </c>
      <c r="AJ47" s="27" t="str">
        <f t="shared" si="37"/>
        <v>х</v>
      </c>
      <c r="AK47" s="28" t="str">
        <f t="shared" si="44"/>
        <v>х</v>
      </c>
      <c r="AL47" s="27" t="str">
        <f t="shared" si="44"/>
        <v>х</v>
      </c>
      <c r="AM47" s="27" t="str">
        <f t="shared" si="44"/>
        <v>х</v>
      </c>
      <c r="AN47" s="30" t="str">
        <f>"нет"</f>
        <v>нет</v>
      </c>
      <c r="AO47" s="27" t="str">
        <f t="shared" si="45"/>
        <v>х</v>
      </c>
      <c r="AP47" s="27" t="str">
        <f t="shared" si="45"/>
        <v>х</v>
      </c>
      <c r="AQ47" s="27" t="str">
        <f t="shared" si="45"/>
        <v>х</v>
      </c>
      <c r="AR47" s="27" t="str">
        <f t="shared" si="46"/>
        <v>нет</v>
      </c>
      <c r="AS47" s="27" t="str">
        <f t="shared" si="47"/>
        <v>х</v>
      </c>
      <c r="AT47" s="27" t="str">
        <f t="shared" si="47"/>
        <v>х</v>
      </c>
      <c r="AU47" s="27" t="str">
        <f t="shared" si="47"/>
        <v>х</v>
      </c>
      <c r="AV47" s="27" t="str">
        <f t="shared" si="48"/>
        <v>х</v>
      </c>
      <c r="AW47" s="27" t="str">
        <f t="shared" si="48"/>
        <v>х</v>
      </c>
      <c r="AX47" s="27" t="str">
        <f t="shared" si="48"/>
        <v>х</v>
      </c>
      <c r="AY47" s="27" t="str">
        <f t="shared" si="49"/>
        <v>нет</v>
      </c>
      <c r="AZ47" s="27" t="str">
        <f t="shared" si="50"/>
        <v>х</v>
      </c>
      <c r="BA47" s="27" t="str">
        <f t="shared" si="50"/>
        <v>х</v>
      </c>
      <c r="BB47" s="27" t="str">
        <f t="shared" si="50"/>
        <v>х</v>
      </c>
      <c r="BC47" s="27" t="str">
        <f t="shared" si="51"/>
        <v>нет</v>
      </c>
      <c r="BD47" s="27" t="str">
        <f t="shared" si="52"/>
        <v>х</v>
      </c>
      <c r="BE47" s="27" t="str">
        <f t="shared" si="52"/>
        <v>х</v>
      </c>
      <c r="BF47" s="27" t="str">
        <f t="shared" si="52"/>
        <v>х</v>
      </c>
      <c r="BG47" s="27" t="str">
        <f>""</f>
        <v/>
      </c>
      <c r="BH47" s="27" t="str">
        <f>"65,00"</f>
        <v>65,00</v>
      </c>
      <c r="BI47" s="27" t="str">
        <f>"2021-2023"</f>
        <v>2021-2023</v>
      </c>
      <c r="BJ47" s="27" t="str">
        <f t="shared" si="53"/>
        <v>нет</v>
      </c>
      <c r="BK47" s="27" t="str">
        <f t="shared" si="39"/>
        <v>x</v>
      </c>
      <c r="BL47" s="27" t="str">
        <f>"65,00"</f>
        <v>65,00</v>
      </c>
      <c r="BM47" s="27" t="str">
        <f>"2016-2018"</f>
        <v>2016-2018</v>
      </c>
      <c r="BN47" s="27" t="str">
        <f>""</f>
        <v/>
      </c>
      <c r="BO47" s="27" t="str">
        <f>"65,00"</f>
        <v>65,00</v>
      </c>
      <c r="BP47" s="27" t="str">
        <f>"2022-2024"</f>
        <v>2022-2024</v>
      </c>
      <c r="BQ47" s="27" t="str">
        <f>""</f>
        <v/>
      </c>
      <c r="BR47" s="27" t="str">
        <f>"65,00"</f>
        <v>65,00</v>
      </c>
      <c r="BS47" s="27" t="str">
        <f>"2016-2018"</f>
        <v>2016-2018</v>
      </c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  <c r="DB47" s="11"/>
      <c r="DC47" s="11"/>
      <c r="DD47" s="11"/>
      <c r="DE47" s="11"/>
      <c r="DF47" s="11"/>
      <c r="DG47" s="11"/>
      <c r="DH47" s="11"/>
      <c r="DI47" s="11"/>
      <c r="DJ47" s="11"/>
      <c r="DK47" s="11"/>
      <c r="DL47" s="11"/>
      <c r="DM47" s="11"/>
      <c r="DN47" s="11"/>
      <c r="DO47" s="11"/>
    </row>
    <row r="48" spans="1:119" s="9" customFormat="1" ht="11.25" customHeight="1">
      <c r="A48" s="24" t="str">
        <f>"1.35"</f>
        <v>1.35</v>
      </c>
      <c r="B48" s="25" t="str">
        <f>"г. Кириллов, ул. Лелекова, д.28"</f>
        <v>г. Кириллов, ул. Лелекова, д.28</v>
      </c>
      <c r="C48" s="26" t="str">
        <f>"1991"</f>
        <v>1991</v>
      </c>
      <c r="D48" s="27" t="str">
        <f>""</f>
        <v/>
      </c>
      <c r="E48" s="27" t="str">
        <f>"60,00"</f>
        <v>60,00</v>
      </c>
      <c r="F48" s="27" t="str">
        <f>"2037-2039"</f>
        <v>2037-2039</v>
      </c>
      <c r="G48" s="27" t="str">
        <f>"да"</f>
        <v>да</v>
      </c>
      <c r="H48" s="27" t="str">
        <f>"2010"</f>
        <v>2010</v>
      </c>
      <c r="I48" s="27" t="str">
        <f>"19,00"</f>
        <v>19,00</v>
      </c>
      <c r="J48" s="27" t="str">
        <f>"2026-2028"</f>
        <v>2026-2028</v>
      </c>
      <c r="K48" s="27" t="str">
        <f t="shared" si="41"/>
        <v>нет</v>
      </c>
      <c r="L48" s="27" t="str">
        <f>""</f>
        <v/>
      </c>
      <c r="M48" s="27" t="str">
        <f>""</f>
        <v/>
      </c>
      <c r="N48" s="27" t="str">
        <f>""</f>
        <v/>
      </c>
      <c r="O48" s="28" t="str">
        <f>""</f>
        <v/>
      </c>
      <c r="P48" s="27" t="str">
        <f>"60,00"</f>
        <v>60,00</v>
      </c>
      <c r="Q48" s="27" t="str">
        <f>"2027-2029"</f>
        <v>2027-2029</v>
      </c>
      <c r="R48" s="27" t="str">
        <f>"да"</f>
        <v>да</v>
      </c>
      <c r="S48" s="27" t="str">
        <f>"2011"</f>
        <v>2011</v>
      </c>
      <c r="T48" s="27" t="str">
        <f>"13,00"</f>
        <v>13,00</v>
      </c>
      <c r="U48" s="27" t="str">
        <f>"2026-2028"</f>
        <v>2026-2028</v>
      </c>
      <c r="V48" s="27" t="str">
        <f t="shared" si="42"/>
        <v>нет</v>
      </c>
      <c r="W48" s="27" t="str">
        <f>""</f>
        <v/>
      </c>
      <c r="X48" s="27" t="str">
        <f>""</f>
        <v/>
      </c>
      <c r="Y48" s="29" t="str">
        <f>""</f>
        <v/>
      </c>
      <c r="Z48" s="27" t="str">
        <f t="shared" si="34"/>
        <v>х</v>
      </c>
      <c r="AA48" s="27" t="str">
        <f t="shared" si="40"/>
        <v>х</v>
      </c>
      <c r="AB48" s="27" t="str">
        <f t="shared" si="40"/>
        <v>х</v>
      </c>
      <c r="AC48" s="27" t="str">
        <f t="shared" si="43"/>
        <v>нет</v>
      </c>
      <c r="AD48" s="27" t="str">
        <f t="shared" si="36"/>
        <v>х</v>
      </c>
      <c r="AE48" s="27" t="str">
        <f t="shared" si="36"/>
        <v>х</v>
      </c>
      <c r="AF48" s="27" t="str">
        <f t="shared" si="36"/>
        <v>х</v>
      </c>
      <c r="AG48" s="27" t="str">
        <f t="shared" si="5"/>
        <v>нет</v>
      </c>
      <c r="AH48" s="27" t="str">
        <f t="shared" si="37"/>
        <v>х</v>
      </c>
      <c r="AI48" s="27" t="str">
        <f t="shared" si="37"/>
        <v>х</v>
      </c>
      <c r="AJ48" s="27" t="str">
        <f t="shared" si="37"/>
        <v>х</v>
      </c>
      <c r="AK48" s="28" t="str">
        <f>""</f>
        <v/>
      </c>
      <c r="AL48" s="27" t="str">
        <f>"73,00"</f>
        <v>73,00</v>
      </c>
      <c r="AM48" s="27" t="str">
        <f>"2019-2021"</f>
        <v>2019-2021</v>
      </c>
      <c r="AN48" s="30" t="str">
        <f>"да"</f>
        <v>да</v>
      </c>
      <c r="AO48" s="27" t="str">
        <f>"2012"</f>
        <v>2012</v>
      </c>
      <c r="AP48" s="27" t="str">
        <f>"17,00"</f>
        <v>17,00</v>
      </c>
      <c r="AQ48" s="27" t="str">
        <f>"2018-2020"</f>
        <v>2018-2020</v>
      </c>
      <c r="AR48" s="27" t="str">
        <f t="shared" si="46"/>
        <v>нет</v>
      </c>
      <c r="AS48" s="27" t="str">
        <f>""</f>
        <v/>
      </c>
      <c r="AT48" s="27" t="str">
        <f>""</f>
        <v/>
      </c>
      <c r="AU48" s="27" t="str">
        <f>""</f>
        <v/>
      </c>
      <c r="AV48" s="27" t="str">
        <f>""</f>
        <v/>
      </c>
      <c r="AW48" s="27" t="str">
        <f>"60,00"</f>
        <v>60,00</v>
      </c>
      <c r="AX48" s="27" t="str">
        <f>"2031-2033"</f>
        <v>2031-2033</v>
      </c>
      <c r="AY48" s="27" t="str">
        <f t="shared" si="49"/>
        <v>нет</v>
      </c>
      <c r="AZ48" s="27" t="str">
        <f>""</f>
        <v/>
      </c>
      <c r="BA48" s="27" t="str">
        <f>""</f>
        <v/>
      </c>
      <c r="BB48" s="27" t="str">
        <f>""</f>
        <v/>
      </c>
      <c r="BC48" s="27" t="str">
        <f t="shared" si="51"/>
        <v>нет</v>
      </c>
      <c r="BD48" s="27" t="str">
        <f>""</f>
        <v/>
      </c>
      <c r="BE48" s="27" t="str">
        <f>""</f>
        <v/>
      </c>
      <c r="BF48" s="27" t="str">
        <f>""</f>
        <v/>
      </c>
      <c r="BG48" s="27" t="str">
        <f>""</f>
        <v/>
      </c>
      <c r="BH48" s="27" t="str">
        <f>"50,00"</f>
        <v>50,00</v>
      </c>
      <c r="BI48" s="27" t="str">
        <f>"2026-2028"</f>
        <v>2026-2028</v>
      </c>
      <c r="BJ48" s="27" t="str">
        <f t="shared" si="53"/>
        <v>нет</v>
      </c>
      <c r="BK48" s="27" t="str">
        <f t="shared" si="39"/>
        <v>x</v>
      </c>
      <c r="BL48" s="27" t="str">
        <f>"44,00"</f>
        <v>44,00</v>
      </c>
      <c r="BM48" s="27" t="str">
        <f>"2032-2034"</f>
        <v>2032-2034</v>
      </c>
      <c r="BN48" s="27" t="str">
        <f>""</f>
        <v/>
      </c>
      <c r="BO48" s="27" t="str">
        <f>"45,00"</f>
        <v>45,00</v>
      </c>
      <c r="BP48" s="27" t="str">
        <f>"2031-2033"</f>
        <v>2031-2033</v>
      </c>
      <c r="BQ48" s="27" t="str">
        <f>""</f>
        <v/>
      </c>
      <c r="BR48" s="27" t="str">
        <f>"44,00"</f>
        <v>44,00</v>
      </c>
      <c r="BS48" s="27" t="str">
        <f>"2032-2034"</f>
        <v>2032-2034</v>
      </c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/>
      <c r="DA48" s="11"/>
      <c r="DB48" s="11"/>
      <c r="DC48" s="11"/>
      <c r="DD48" s="11"/>
      <c r="DE48" s="11"/>
      <c r="DF48" s="11"/>
      <c r="DG48" s="11"/>
      <c r="DH48" s="11"/>
      <c r="DI48" s="11"/>
      <c r="DJ48" s="11"/>
      <c r="DK48" s="11"/>
      <c r="DL48" s="11"/>
      <c r="DM48" s="11"/>
      <c r="DN48" s="11"/>
      <c r="DO48" s="11"/>
    </row>
    <row r="49" spans="1:119" s="9" customFormat="1" ht="11.25" customHeight="1">
      <c r="A49" s="24" t="str">
        <f>"1.36"</f>
        <v>1.36</v>
      </c>
      <c r="B49" s="25" t="str">
        <f>"г. Кириллов, ул. Лелекова, д.28А"</f>
        <v>г. Кириллов, ул. Лелекова, д.28А</v>
      </c>
      <c r="C49" s="26" t="str">
        <f>"1988"</f>
        <v>1988</v>
      </c>
      <c r="D49" s="27" t="str">
        <f>""</f>
        <v/>
      </c>
      <c r="E49" s="27" t="str">
        <f>"90,00"</f>
        <v>90,00</v>
      </c>
      <c r="F49" s="27" t="str">
        <f>"2026-2028"</f>
        <v>2026-2028</v>
      </c>
      <c r="G49" s="27" t="str">
        <f>"нет"</f>
        <v>нет</v>
      </c>
      <c r="H49" s="27" t="str">
        <f>""</f>
        <v/>
      </c>
      <c r="I49" s="27" t="str">
        <f>""</f>
        <v/>
      </c>
      <c r="J49" s="27" t="str">
        <f>""</f>
        <v/>
      </c>
      <c r="K49" s="27" t="str">
        <f t="shared" si="41"/>
        <v>нет</v>
      </c>
      <c r="L49" s="27" t="str">
        <f>""</f>
        <v/>
      </c>
      <c r="M49" s="27" t="str">
        <f>""</f>
        <v/>
      </c>
      <c r="N49" s="27" t="str">
        <f>""</f>
        <v/>
      </c>
      <c r="O49" s="28" t="str">
        <f>"2009"</f>
        <v>2009</v>
      </c>
      <c r="P49" s="27" t="str">
        <f>"16,00"</f>
        <v>16,00</v>
      </c>
      <c r="Q49" s="27" t="str">
        <f>"2034-2036"</f>
        <v>2034-2036</v>
      </c>
      <c r="R49" s="27" t="str">
        <f>"да"</f>
        <v>да</v>
      </c>
      <c r="S49" s="27" t="str">
        <f>"2009"</f>
        <v>2009</v>
      </c>
      <c r="T49" s="27" t="str">
        <f>"25,00"</f>
        <v>25,00</v>
      </c>
      <c r="U49" s="27" t="str">
        <f>"2025-2027"</f>
        <v>2025-2027</v>
      </c>
      <c r="V49" s="27" t="str">
        <f t="shared" si="42"/>
        <v>нет</v>
      </c>
      <c r="W49" s="27" t="str">
        <f>""</f>
        <v/>
      </c>
      <c r="X49" s="27" t="str">
        <f>""</f>
        <v/>
      </c>
      <c r="Y49" s="29" t="str">
        <f>""</f>
        <v/>
      </c>
      <c r="Z49" s="27" t="str">
        <f t="shared" si="34"/>
        <v>х</v>
      </c>
      <c r="AA49" s="27" t="str">
        <f t="shared" si="40"/>
        <v>х</v>
      </c>
      <c r="AB49" s="27" t="str">
        <f t="shared" si="40"/>
        <v>х</v>
      </c>
      <c r="AC49" s="27" t="str">
        <f t="shared" si="43"/>
        <v>нет</v>
      </c>
      <c r="AD49" s="27" t="str">
        <f t="shared" si="36"/>
        <v>х</v>
      </c>
      <c r="AE49" s="27" t="str">
        <f t="shared" si="36"/>
        <v>х</v>
      </c>
      <c r="AF49" s="27" t="str">
        <f t="shared" si="36"/>
        <v>х</v>
      </c>
      <c r="AG49" s="27" t="str">
        <f t="shared" si="5"/>
        <v>нет</v>
      </c>
      <c r="AH49" s="27" t="str">
        <f t="shared" si="37"/>
        <v>х</v>
      </c>
      <c r="AI49" s="27" t="str">
        <f t="shared" si="37"/>
        <v>х</v>
      </c>
      <c r="AJ49" s="27" t="str">
        <f t="shared" si="37"/>
        <v>х</v>
      </c>
      <c r="AK49" s="28" t="str">
        <f>"2009"</f>
        <v>2009</v>
      </c>
      <c r="AL49" s="27" t="str">
        <f>"13,00"</f>
        <v>13,00</v>
      </c>
      <c r="AM49" s="27" t="str">
        <f>"2045-2047"</f>
        <v>2045-2047</v>
      </c>
      <c r="AN49" s="30" t="str">
        <f>"да"</f>
        <v>да</v>
      </c>
      <c r="AO49" s="27" t="str">
        <f>"2009"</f>
        <v>2009</v>
      </c>
      <c r="AP49" s="27" t="str">
        <f>"67,00"</f>
        <v>67,00</v>
      </c>
      <c r="AQ49" s="27" t="str">
        <f>"2025-2027"</f>
        <v>2025-2027</v>
      </c>
      <c r="AR49" s="27" t="str">
        <f t="shared" si="46"/>
        <v>нет</v>
      </c>
      <c r="AS49" s="27" t="str">
        <f>""</f>
        <v/>
      </c>
      <c r="AT49" s="27" t="str">
        <f>""</f>
        <v/>
      </c>
      <c r="AU49" s="27" t="str">
        <f>""</f>
        <v/>
      </c>
      <c r="AV49" s="27" t="str">
        <f>"2009"</f>
        <v>2009</v>
      </c>
      <c r="AW49" s="27" t="str">
        <f>"8,00"</f>
        <v>8,00</v>
      </c>
      <c r="AX49" s="27" t="str">
        <f>"2045-2047"</f>
        <v>2045-2047</v>
      </c>
      <c r="AY49" s="27" t="str">
        <f t="shared" si="49"/>
        <v>нет</v>
      </c>
      <c r="AZ49" s="27" t="str">
        <f>""</f>
        <v/>
      </c>
      <c r="BA49" s="27" t="str">
        <f>""</f>
        <v/>
      </c>
      <c r="BB49" s="27" t="str">
        <f>""</f>
        <v/>
      </c>
      <c r="BC49" s="27" t="str">
        <f t="shared" si="51"/>
        <v>нет</v>
      </c>
      <c r="BD49" s="27" t="str">
        <f>""</f>
        <v/>
      </c>
      <c r="BE49" s="27" t="str">
        <f>""</f>
        <v/>
      </c>
      <c r="BF49" s="27" t="str">
        <f>""</f>
        <v/>
      </c>
      <c r="BG49" s="27" t="str">
        <f>"2009"</f>
        <v>2009</v>
      </c>
      <c r="BH49" s="27" t="str">
        <f>"27,00"</f>
        <v>27,00</v>
      </c>
      <c r="BI49" s="27" t="str">
        <f>"2031-2033"</f>
        <v>2031-2033</v>
      </c>
      <c r="BJ49" s="27" t="str">
        <f t="shared" si="53"/>
        <v>нет</v>
      </c>
      <c r="BK49" s="27" t="str">
        <f t="shared" si="39"/>
        <v>x</v>
      </c>
      <c r="BL49" s="27" t="str">
        <f>"50,00"</f>
        <v>50,00</v>
      </c>
      <c r="BM49" s="27" t="str">
        <f>"2029-2031"</f>
        <v>2029-2031</v>
      </c>
      <c r="BN49" s="27" t="str">
        <f>"2009"</f>
        <v>2009</v>
      </c>
      <c r="BO49" s="27" t="str">
        <f>"13,00"</f>
        <v>13,00</v>
      </c>
      <c r="BP49" s="27" t="str">
        <f>"2039-2041"</f>
        <v>2039-2041</v>
      </c>
      <c r="BQ49" s="27" t="str">
        <f>""</f>
        <v/>
      </c>
      <c r="BR49" s="27" t="str">
        <f>"50,00"</f>
        <v>50,00</v>
      </c>
      <c r="BS49" s="27" t="str">
        <f>"2029-2031"</f>
        <v>2029-2031</v>
      </c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  <c r="DB49" s="11"/>
      <c r="DC49" s="11"/>
      <c r="DD49" s="11"/>
      <c r="DE49" s="11"/>
      <c r="DF49" s="11"/>
      <c r="DG49" s="11"/>
      <c r="DH49" s="11"/>
      <c r="DI49" s="11"/>
      <c r="DJ49" s="11"/>
      <c r="DK49" s="11"/>
      <c r="DL49" s="11"/>
      <c r="DM49" s="11"/>
      <c r="DN49" s="11"/>
      <c r="DO49" s="11"/>
    </row>
    <row r="50" spans="1:119" s="9" customFormat="1" ht="11.25" customHeight="1">
      <c r="A50" s="24" t="str">
        <f>"1.37"</f>
        <v>1.37</v>
      </c>
      <c r="B50" s="25" t="str">
        <f>"г. Кириллов, ул. Лелекова, д.30"</f>
        <v>г. Кириллов, ул. Лелекова, д.30</v>
      </c>
      <c r="C50" s="26" t="str">
        <f>"2006"</f>
        <v>2006</v>
      </c>
      <c r="D50" s="27" t="str">
        <f>""</f>
        <v/>
      </c>
      <c r="E50" s="27" t="str">
        <f>"35,00"</f>
        <v>35,00</v>
      </c>
      <c r="F50" s="27" t="str">
        <f>"2036-2038"</f>
        <v>2036-2038</v>
      </c>
      <c r="G50" s="27" t="str">
        <f>"нет"</f>
        <v>нет</v>
      </c>
      <c r="H50" s="27" t="str">
        <f>""</f>
        <v/>
      </c>
      <c r="I50" s="27" t="str">
        <f>""</f>
        <v/>
      </c>
      <c r="J50" s="27" t="str">
        <f>""</f>
        <v/>
      </c>
      <c r="K50" s="27" t="str">
        <f t="shared" si="41"/>
        <v>нет</v>
      </c>
      <c r="L50" s="27" t="str">
        <f>""</f>
        <v/>
      </c>
      <c r="M50" s="27" t="str">
        <f>""</f>
        <v/>
      </c>
      <c r="N50" s="27" t="str">
        <f>""</f>
        <v/>
      </c>
      <c r="O50" s="28" t="str">
        <f>""</f>
        <v/>
      </c>
      <c r="P50" s="27" t="str">
        <f>"28,00"</f>
        <v>28,00</v>
      </c>
      <c r="Q50" s="27" t="str">
        <f>"2031-2033"</f>
        <v>2031-2033</v>
      </c>
      <c r="R50" s="27" t="str">
        <f>"нет"</f>
        <v>нет</v>
      </c>
      <c r="S50" s="27" t="str">
        <f>""</f>
        <v/>
      </c>
      <c r="T50" s="27" t="str">
        <f>""</f>
        <v/>
      </c>
      <c r="U50" s="27" t="str">
        <f>""</f>
        <v/>
      </c>
      <c r="V50" s="27" t="str">
        <f t="shared" si="42"/>
        <v>нет</v>
      </c>
      <c r="W50" s="27" t="str">
        <f>""</f>
        <v/>
      </c>
      <c r="X50" s="27" t="str">
        <f>""</f>
        <v/>
      </c>
      <c r="Y50" s="29" t="str">
        <f>""</f>
        <v/>
      </c>
      <c r="Z50" s="27" t="str">
        <f t="shared" si="34"/>
        <v>х</v>
      </c>
      <c r="AA50" s="27" t="str">
        <f t="shared" si="40"/>
        <v>х</v>
      </c>
      <c r="AB50" s="27" t="str">
        <f t="shared" si="40"/>
        <v>х</v>
      </c>
      <c r="AC50" s="27" t="str">
        <f t="shared" si="43"/>
        <v>нет</v>
      </c>
      <c r="AD50" s="27" t="str">
        <f t="shared" si="36"/>
        <v>х</v>
      </c>
      <c r="AE50" s="27" t="str">
        <f t="shared" si="36"/>
        <v>х</v>
      </c>
      <c r="AF50" s="27" t="str">
        <f t="shared" si="36"/>
        <v>х</v>
      </c>
      <c r="AG50" s="27" t="str">
        <f t="shared" si="5"/>
        <v>нет</v>
      </c>
      <c r="AH50" s="27" t="str">
        <f t="shared" si="37"/>
        <v>х</v>
      </c>
      <c r="AI50" s="27" t="str">
        <f t="shared" si="37"/>
        <v>х</v>
      </c>
      <c r="AJ50" s="27" t="str">
        <f t="shared" si="37"/>
        <v>х</v>
      </c>
      <c r="AK50" s="28" t="str">
        <f>""</f>
        <v/>
      </c>
      <c r="AL50" s="27" t="str">
        <f>"23,00"</f>
        <v>23,00</v>
      </c>
      <c r="AM50" s="27" t="str">
        <f>"2036-2038"</f>
        <v>2036-2038</v>
      </c>
      <c r="AN50" s="30" t="str">
        <f>"нет"</f>
        <v>нет</v>
      </c>
      <c r="AO50" s="27" t="str">
        <f>""</f>
        <v/>
      </c>
      <c r="AP50" s="27" t="str">
        <f>""</f>
        <v/>
      </c>
      <c r="AQ50" s="27" t="str">
        <f>""</f>
        <v/>
      </c>
      <c r="AR50" s="27" t="str">
        <f t="shared" si="46"/>
        <v>нет</v>
      </c>
      <c r="AS50" s="27" t="str">
        <f>""</f>
        <v/>
      </c>
      <c r="AT50" s="27" t="str">
        <f>""</f>
        <v/>
      </c>
      <c r="AU50" s="27" t="str">
        <f>""</f>
        <v/>
      </c>
      <c r="AV50" s="27" t="str">
        <f>""</f>
        <v/>
      </c>
      <c r="AW50" s="27" t="str">
        <f>"14,00"</f>
        <v>14,00</v>
      </c>
      <c r="AX50" s="27" t="str">
        <f>"2045-2047"</f>
        <v>2045-2047</v>
      </c>
      <c r="AY50" s="27" t="str">
        <f t="shared" si="49"/>
        <v>нет</v>
      </c>
      <c r="AZ50" s="27" t="str">
        <f>""</f>
        <v/>
      </c>
      <c r="BA50" s="27" t="str">
        <f>""</f>
        <v/>
      </c>
      <c r="BB50" s="27" t="str">
        <f>""</f>
        <v/>
      </c>
      <c r="BC50" s="27" t="str">
        <f t="shared" si="51"/>
        <v>нет</v>
      </c>
      <c r="BD50" s="27" t="str">
        <f>""</f>
        <v/>
      </c>
      <c r="BE50" s="27" t="str">
        <f>""</f>
        <v/>
      </c>
      <c r="BF50" s="27" t="str">
        <f>""</f>
        <v/>
      </c>
      <c r="BG50" s="27" t="str">
        <f>""</f>
        <v/>
      </c>
      <c r="BH50" s="27" t="str">
        <f>"47,00"</f>
        <v>47,00</v>
      </c>
      <c r="BI50" s="27" t="str">
        <f>"2038-2040"</f>
        <v>2038-2040</v>
      </c>
      <c r="BJ50" s="27" t="str">
        <f t="shared" si="53"/>
        <v>нет</v>
      </c>
      <c r="BK50" s="27" t="str">
        <f t="shared" si="39"/>
        <v>x</v>
      </c>
      <c r="BL50" s="27" t="str">
        <f>"14,00"</f>
        <v>14,00</v>
      </c>
      <c r="BM50" s="27" t="str">
        <f>"2045-2047"</f>
        <v>2045-2047</v>
      </c>
      <c r="BN50" s="27" t="str">
        <f>""</f>
        <v/>
      </c>
      <c r="BO50" s="27" t="str">
        <f>"14,00"</f>
        <v>14,00</v>
      </c>
      <c r="BP50" s="27" t="str">
        <f>"2036-2038"</f>
        <v>2036-2038</v>
      </c>
      <c r="BQ50" s="27" t="str">
        <f>""</f>
        <v/>
      </c>
      <c r="BR50" s="27" t="str">
        <f>"14,00"</f>
        <v>14,00</v>
      </c>
      <c r="BS50" s="27" t="str">
        <f>"2045-2047"</f>
        <v>2045-2047</v>
      </c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</row>
    <row r="51" spans="1:119" s="9" customFormat="1" ht="11.25" customHeight="1">
      <c r="A51" s="24" t="str">
        <f>"1.38"</f>
        <v>1.38</v>
      </c>
      <c r="B51" s="25" t="str">
        <f>"г. Кириллов, ул. Лелекова, д.5"</f>
        <v>г. Кириллов, ул. Лелекова, д.5</v>
      </c>
      <c r="C51" s="26" t="str">
        <f>"1988"</f>
        <v>1988</v>
      </c>
      <c r="D51" s="27" t="str">
        <f>""</f>
        <v/>
      </c>
      <c r="E51" s="27" t="str">
        <f>"80,00"</f>
        <v>80,00</v>
      </c>
      <c r="F51" s="27" t="str">
        <f>"2021-2023"</f>
        <v>2021-2023</v>
      </c>
      <c r="G51" s="27" t="str">
        <f>"нет"</f>
        <v>нет</v>
      </c>
      <c r="H51" s="27" t="str">
        <f>""</f>
        <v/>
      </c>
      <c r="I51" s="27" t="str">
        <f>""</f>
        <v/>
      </c>
      <c r="J51" s="27" t="str">
        <f>""</f>
        <v/>
      </c>
      <c r="K51" s="27" t="str">
        <f t="shared" si="41"/>
        <v>нет</v>
      </c>
      <c r="L51" s="27" t="str">
        <f>""</f>
        <v/>
      </c>
      <c r="M51" s="27" t="str">
        <f>""</f>
        <v/>
      </c>
      <c r="N51" s="27" t="str">
        <f>""</f>
        <v/>
      </c>
      <c r="O51" s="28" t="str">
        <f>""</f>
        <v/>
      </c>
      <c r="P51" s="27" t="str">
        <f>""</f>
        <v/>
      </c>
      <c r="Q51" s="27" t="str">
        <f>""</f>
        <v/>
      </c>
      <c r="R51" s="27" t="str">
        <f>"нет"</f>
        <v>нет</v>
      </c>
      <c r="S51" s="27" t="str">
        <f>""</f>
        <v/>
      </c>
      <c r="T51" s="27" t="str">
        <f>""</f>
        <v/>
      </c>
      <c r="U51" s="27" t="str">
        <f>""</f>
        <v/>
      </c>
      <c r="V51" s="27" t="str">
        <f t="shared" si="42"/>
        <v>нет</v>
      </c>
      <c r="W51" s="27" t="str">
        <f>""</f>
        <v/>
      </c>
      <c r="X51" s="27" t="str">
        <f>""</f>
        <v/>
      </c>
      <c r="Y51" s="29" t="str">
        <f>""</f>
        <v/>
      </c>
      <c r="Z51" s="27" t="str">
        <f t="shared" si="34"/>
        <v>х</v>
      </c>
      <c r="AA51" s="27" t="str">
        <f t="shared" si="40"/>
        <v>х</v>
      </c>
      <c r="AB51" s="27" t="str">
        <f t="shared" si="40"/>
        <v>х</v>
      </c>
      <c r="AC51" s="27" t="str">
        <f t="shared" si="43"/>
        <v>нет</v>
      </c>
      <c r="AD51" s="27" t="str">
        <f t="shared" si="36"/>
        <v>х</v>
      </c>
      <c r="AE51" s="27" t="str">
        <f t="shared" si="36"/>
        <v>х</v>
      </c>
      <c r="AF51" s="27" t="str">
        <f t="shared" si="36"/>
        <v>х</v>
      </c>
      <c r="AG51" s="27" t="str">
        <f t="shared" si="5"/>
        <v>нет</v>
      </c>
      <c r="AH51" s="27" t="str">
        <f t="shared" si="37"/>
        <v>х</v>
      </c>
      <c r="AI51" s="27" t="str">
        <f t="shared" si="37"/>
        <v>х</v>
      </c>
      <c r="AJ51" s="27" t="str">
        <f t="shared" si="37"/>
        <v>х</v>
      </c>
      <c r="AK51" s="28" t="str">
        <f>"х"</f>
        <v>х</v>
      </c>
      <c r="AL51" s="27" t="str">
        <f>"х"</f>
        <v>х</v>
      </c>
      <c r="AM51" s="27" t="str">
        <f>"х"</f>
        <v>х</v>
      </c>
      <c r="AN51" s="30" t="str">
        <f>"нет"</f>
        <v>нет</v>
      </c>
      <c r="AO51" s="27" t="str">
        <f>"х"</f>
        <v>х</v>
      </c>
      <c r="AP51" s="27" t="str">
        <f>"х"</f>
        <v>х</v>
      </c>
      <c r="AQ51" s="27" t="str">
        <f>"х"</f>
        <v>х</v>
      </c>
      <c r="AR51" s="27" t="str">
        <f t="shared" si="46"/>
        <v>нет</v>
      </c>
      <c r="AS51" s="27" t="str">
        <f t="shared" ref="AS51:AX51" si="54">"х"</f>
        <v>х</v>
      </c>
      <c r="AT51" s="27" t="str">
        <f t="shared" si="54"/>
        <v>х</v>
      </c>
      <c r="AU51" s="27" t="str">
        <f t="shared" si="54"/>
        <v>х</v>
      </c>
      <c r="AV51" s="27" t="str">
        <f t="shared" si="54"/>
        <v>х</v>
      </c>
      <c r="AW51" s="27" t="str">
        <f t="shared" si="54"/>
        <v>х</v>
      </c>
      <c r="AX51" s="27" t="str">
        <f t="shared" si="54"/>
        <v>х</v>
      </c>
      <c r="AY51" s="27" t="str">
        <f t="shared" si="49"/>
        <v>нет</v>
      </c>
      <c r="AZ51" s="27" t="str">
        <f>"х"</f>
        <v>х</v>
      </c>
      <c r="BA51" s="27" t="str">
        <f>"х"</f>
        <v>х</v>
      </c>
      <c r="BB51" s="27" t="str">
        <f>"х"</f>
        <v>х</v>
      </c>
      <c r="BC51" s="27" t="str">
        <f t="shared" si="51"/>
        <v>нет</v>
      </c>
      <c r="BD51" s="27" t="str">
        <f>"х"</f>
        <v>х</v>
      </c>
      <c r="BE51" s="27" t="str">
        <f>"х"</f>
        <v>х</v>
      </c>
      <c r="BF51" s="27" t="str">
        <f>"х"</f>
        <v>х</v>
      </c>
      <c r="BG51" s="27" t="str">
        <f>""</f>
        <v/>
      </c>
      <c r="BH51" s="27" t="str">
        <f>"65,00"</f>
        <v>65,00</v>
      </c>
      <c r="BI51" s="27" t="str">
        <f>"2017-2019"</f>
        <v>2017-2019</v>
      </c>
      <c r="BJ51" s="27" t="str">
        <f t="shared" si="53"/>
        <v>нет</v>
      </c>
      <c r="BK51" s="27" t="str">
        <f t="shared" si="39"/>
        <v>x</v>
      </c>
      <c r="BL51" s="27" t="str">
        <f>"50,00"</f>
        <v>50,00</v>
      </c>
      <c r="BM51" s="27" t="str">
        <f>"2029-2031"</f>
        <v>2029-2031</v>
      </c>
      <c r="BN51" s="27" t="str">
        <f>""</f>
        <v/>
      </c>
      <c r="BO51" s="27" t="str">
        <f>"50,00"</f>
        <v>50,00</v>
      </c>
      <c r="BP51" s="27" t="str">
        <f>"2023-2025"</f>
        <v>2023-2025</v>
      </c>
      <c r="BQ51" s="27" t="str">
        <f>""</f>
        <v/>
      </c>
      <c r="BR51" s="27" t="str">
        <f>"50,00"</f>
        <v>50,00</v>
      </c>
      <c r="BS51" s="27" t="str">
        <f>"2029-2031"</f>
        <v>2029-2031</v>
      </c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</row>
    <row r="52" spans="1:119" s="10" customFormat="1" ht="11.25" customHeight="1">
      <c r="A52" s="24" t="str">
        <f>"1.39"</f>
        <v>1.39</v>
      </c>
      <c r="B52" s="25" t="str">
        <f>"г. Кириллов, ул. Ленина, д.109"</f>
        <v>г. Кириллов, ул. Ленина, д.109</v>
      </c>
      <c r="C52" s="26" t="str">
        <f>"1986"</f>
        <v>1986</v>
      </c>
      <c r="D52" s="27" t="str">
        <f>"1996"</f>
        <v>1996</v>
      </c>
      <c r="E52" s="27" t="str">
        <f>"97,00"</f>
        <v>97,00</v>
      </c>
      <c r="F52" s="27" t="str">
        <f>"2026-2028"</f>
        <v>2026-2028</v>
      </c>
      <c r="G52" s="27" t="str">
        <f t="shared" ref="G52:G64" si="55">"да"</f>
        <v>да</v>
      </c>
      <c r="H52" s="27" t="str">
        <f>"2009"</f>
        <v>2009</v>
      </c>
      <c r="I52" s="27" t="str">
        <f>"25,00"</f>
        <v>25,00</v>
      </c>
      <c r="J52" s="27" t="str">
        <f>"2025-2027"</f>
        <v>2025-2027</v>
      </c>
      <c r="K52" s="27" t="str">
        <f t="shared" si="41"/>
        <v>нет</v>
      </c>
      <c r="L52" s="27" t="str">
        <f>""</f>
        <v/>
      </c>
      <c r="M52" s="27" t="str">
        <f>""</f>
        <v/>
      </c>
      <c r="N52" s="27" t="str">
        <f>""</f>
        <v/>
      </c>
      <c r="O52" s="28" t="str">
        <f>"1996"</f>
        <v>1996</v>
      </c>
      <c r="P52" s="27" t="str">
        <f>"67,00"</f>
        <v>67,00</v>
      </c>
      <c r="Q52" s="27" t="str">
        <f>"2024-2026"</f>
        <v>2024-2026</v>
      </c>
      <c r="R52" s="27" t="str">
        <f>"да"</f>
        <v>да</v>
      </c>
      <c r="S52" s="27" t="str">
        <f>"2010"</f>
        <v>2010</v>
      </c>
      <c r="T52" s="27" t="str">
        <f>"18,00"</f>
        <v>18,00</v>
      </c>
      <c r="U52" s="27" t="str">
        <f>"2026-2028"</f>
        <v>2026-2028</v>
      </c>
      <c r="V52" s="27" t="str">
        <f t="shared" si="42"/>
        <v>нет</v>
      </c>
      <c r="W52" s="27" t="str">
        <f>""</f>
        <v/>
      </c>
      <c r="X52" s="27" t="str">
        <f>""</f>
        <v/>
      </c>
      <c r="Y52" s="29" t="str">
        <f>""</f>
        <v/>
      </c>
      <c r="Z52" s="27" t="str">
        <f t="shared" si="34"/>
        <v>х</v>
      </c>
      <c r="AA52" s="27" t="str">
        <f>"29,00"</f>
        <v>29,00</v>
      </c>
      <c r="AB52" s="27" t="str">
        <f>"2036-2038"</f>
        <v>2036-2038</v>
      </c>
      <c r="AC52" s="27" t="str">
        <f t="shared" si="43"/>
        <v>нет</v>
      </c>
      <c r="AD52" s="27" t="str">
        <f t="shared" si="36"/>
        <v>х</v>
      </c>
      <c r="AE52" s="27" t="str">
        <f t="shared" si="36"/>
        <v>х</v>
      </c>
      <c r="AF52" s="27" t="str">
        <f t="shared" si="36"/>
        <v>х</v>
      </c>
      <c r="AG52" s="27" t="str">
        <f t="shared" si="5"/>
        <v>нет</v>
      </c>
      <c r="AH52" s="27" t="str">
        <f t="shared" si="37"/>
        <v>х</v>
      </c>
      <c r="AI52" s="27" t="str">
        <f t="shared" si="37"/>
        <v>х</v>
      </c>
      <c r="AJ52" s="27" t="str">
        <f t="shared" si="37"/>
        <v>х</v>
      </c>
      <c r="AK52" s="28" t="str">
        <f>"1996"</f>
        <v>1996</v>
      </c>
      <c r="AL52" s="27" t="str">
        <f>"57,00"</f>
        <v>57,00</v>
      </c>
      <c r="AM52" s="27" t="str">
        <f>"2019-2021"</f>
        <v>2019-2021</v>
      </c>
      <c r="AN52" s="30">
        <v>2015</v>
      </c>
      <c r="AO52" s="27" t="str">
        <f>""</f>
        <v/>
      </c>
      <c r="AP52" s="27" t="str">
        <f>""</f>
        <v/>
      </c>
      <c r="AQ52" s="27">
        <v>2030</v>
      </c>
      <c r="AR52" s="27" t="str">
        <f t="shared" si="46"/>
        <v>нет</v>
      </c>
      <c r="AS52" s="27" t="str">
        <f>""</f>
        <v/>
      </c>
      <c r="AT52" s="27" t="str">
        <f>""</f>
        <v/>
      </c>
      <c r="AU52" s="27" t="str">
        <f>""</f>
        <v/>
      </c>
      <c r="AV52" s="27" t="str">
        <f>""</f>
        <v/>
      </c>
      <c r="AW52" s="27" t="str">
        <f>"54,00"</f>
        <v>54,00</v>
      </c>
      <c r="AX52" s="27" t="str">
        <f>"2020-2022"</f>
        <v>2020-2022</v>
      </c>
      <c r="AY52" s="27" t="str">
        <f t="shared" si="49"/>
        <v>нет</v>
      </c>
      <c r="AZ52" s="27" t="str">
        <f>""</f>
        <v/>
      </c>
      <c r="BA52" s="27" t="str">
        <f>""</f>
        <v/>
      </c>
      <c r="BB52" s="27" t="str">
        <f>""</f>
        <v/>
      </c>
      <c r="BC52" s="27" t="str">
        <f t="shared" si="51"/>
        <v>нет</v>
      </c>
      <c r="BD52" s="27" t="str">
        <f>""</f>
        <v/>
      </c>
      <c r="BE52" s="27" t="str">
        <f>""</f>
        <v/>
      </c>
      <c r="BF52" s="27" t="str">
        <f>""</f>
        <v/>
      </c>
      <c r="BG52" s="27" t="str">
        <f>"2007"</f>
        <v>2007</v>
      </c>
      <c r="BH52" s="27" t="str">
        <f>"15,00"</f>
        <v>15,00</v>
      </c>
      <c r="BI52" s="27" t="str">
        <f>"2027-2029"</f>
        <v>2027-2029</v>
      </c>
      <c r="BJ52" s="27" t="str">
        <f t="shared" si="53"/>
        <v>нет</v>
      </c>
      <c r="BK52" s="27" t="str">
        <f>"1996"</f>
        <v>1996</v>
      </c>
      <c r="BL52" s="27" t="str">
        <f>"25,00"</f>
        <v>25,00</v>
      </c>
      <c r="BM52" s="27" t="str">
        <f>"2036-2038"</f>
        <v>2036-2038</v>
      </c>
      <c r="BN52" s="27" t="str">
        <f>""</f>
        <v/>
      </c>
      <c r="BO52" s="27" t="str">
        <f>"60,00"</f>
        <v>60,00</v>
      </c>
      <c r="BP52" s="27" t="str">
        <f>"2030-2032"</f>
        <v>2030-2032</v>
      </c>
      <c r="BQ52" s="27" t="str">
        <f>"1996"</f>
        <v>1996</v>
      </c>
      <c r="BR52" s="27" t="str">
        <f>"25,00"</f>
        <v>25,00</v>
      </c>
      <c r="BS52" s="27" t="str">
        <f>"2036-2038"</f>
        <v>2036-2038</v>
      </c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  <c r="DA52" s="11"/>
      <c r="DB52" s="11"/>
      <c r="DC52" s="11"/>
      <c r="DD52" s="11"/>
      <c r="DE52" s="11"/>
      <c r="DF52" s="11"/>
      <c r="DG52" s="11"/>
      <c r="DH52" s="11"/>
      <c r="DI52" s="11"/>
      <c r="DJ52" s="11"/>
      <c r="DK52" s="11"/>
      <c r="DL52" s="11"/>
      <c r="DM52" s="11"/>
      <c r="DN52" s="11"/>
      <c r="DO52" s="11"/>
    </row>
    <row r="53" spans="1:119" s="9" customFormat="1" ht="11.25" customHeight="1">
      <c r="A53" s="24" t="str">
        <f>"1.40"</f>
        <v>1.40</v>
      </c>
      <c r="B53" s="25" t="str">
        <f>"г. Кириллов, ул. Ленина, д.111"</f>
        <v>г. Кириллов, ул. Ленина, д.111</v>
      </c>
      <c r="C53" s="26" t="str">
        <f>"2004"</f>
        <v>2004</v>
      </c>
      <c r="D53" s="27" t="str">
        <f>""</f>
        <v/>
      </c>
      <c r="E53" s="27" t="str">
        <f>"36,00"</f>
        <v>36,00</v>
      </c>
      <c r="F53" s="27" t="str">
        <f>"2034-2036"</f>
        <v>2034-2036</v>
      </c>
      <c r="G53" s="27" t="str">
        <f t="shared" si="55"/>
        <v>да</v>
      </c>
      <c r="H53" s="27" t="str">
        <f>"2011"</f>
        <v>2011</v>
      </c>
      <c r="I53" s="27" t="str">
        <f>"13,00"</f>
        <v>13,00</v>
      </c>
      <c r="J53" s="27" t="str">
        <f>"2027-2029"</f>
        <v>2027-2029</v>
      </c>
      <c r="K53" s="27" t="str">
        <f t="shared" si="41"/>
        <v>нет</v>
      </c>
      <c r="L53" s="27" t="str">
        <f>""</f>
        <v/>
      </c>
      <c r="M53" s="27" t="str">
        <f>""</f>
        <v/>
      </c>
      <c r="N53" s="27" t="str">
        <f>""</f>
        <v/>
      </c>
      <c r="O53" s="28" t="str">
        <f>""</f>
        <v/>
      </c>
      <c r="P53" s="27" t="str">
        <f>"22,00"</f>
        <v>22,00</v>
      </c>
      <c r="Q53" s="27" t="str">
        <f>"2030-2032"</f>
        <v>2030-2032</v>
      </c>
      <c r="R53" s="27" t="str">
        <f>"да"</f>
        <v>да</v>
      </c>
      <c r="S53" s="27" t="str">
        <f>"2008"</f>
        <v>2008</v>
      </c>
      <c r="T53" s="27" t="str">
        <f>"30,00"</f>
        <v>30,00</v>
      </c>
      <c r="U53" s="27" t="str">
        <f>"2024-2026"</f>
        <v>2024-2026</v>
      </c>
      <c r="V53" s="27" t="str">
        <f t="shared" si="42"/>
        <v>нет</v>
      </c>
      <c r="W53" s="27" t="str">
        <f>""</f>
        <v/>
      </c>
      <c r="X53" s="27" t="str">
        <f>""</f>
        <v/>
      </c>
      <c r="Y53" s="29" t="str">
        <f>""</f>
        <v/>
      </c>
      <c r="Z53" s="27" t="str">
        <f t="shared" si="34"/>
        <v>х</v>
      </c>
      <c r="AA53" s="27" t="str">
        <f>"х"</f>
        <v>х</v>
      </c>
      <c r="AB53" s="27" t="str">
        <f>"х"</f>
        <v>х</v>
      </c>
      <c r="AC53" s="27" t="str">
        <f t="shared" si="43"/>
        <v>нет</v>
      </c>
      <c r="AD53" s="27" t="str">
        <f t="shared" si="36"/>
        <v>х</v>
      </c>
      <c r="AE53" s="27" t="str">
        <f t="shared" si="36"/>
        <v>х</v>
      </c>
      <c r="AF53" s="27" t="str">
        <f t="shared" si="36"/>
        <v>х</v>
      </c>
      <c r="AG53" s="27" t="str">
        <f t="shared" si="5"/>
        <v>нет</v>
      </c>
      <c r="AH53" s="27" t="str">
        <f t="shared" si="37"/>
        <v>х</v>
      </c>
      <c r="AI53" s="27" t="str">
        <f t="shared" si="37"/>
        <v>х</v>
      </c>
      <c r="AJ53" s="27" t="str">
        <f t="shared" si="37"/>
        <v>х</v>
      </c>
      <c r="AK53" s="28" t="str">
        <f>""</f>
        <v/>
      </c>
      <c r="AL53" s="27" t="str">
        <f>"36,00"</f>
        <v>36,00</v>
      </c>
      <c r="AM53" s="27" t="str">
        <f>"2035-2037"</f>
        <v>2035-2037</v>
      </c>
      <c r="AN53" s="30">
        <v>2015</v>
      </c>
      <c r="AO53" s="27" t="str">
        <f>""</f>
        <v/>
      </c>
      <c r="AP53" s="27" t="str">
        <f>""</f>
        <v/>
      </c>
      <c r="AQ53" s="27">
        <v>2030</v>
      </c>
      <c r="AR53" s="27" t="str">
        <f t="shared" si="46"/>
        <v>нет</v>
      </c>
      <c r="AS53" s="27" t="str">
        <f>""</f>
        <v/>
      </c>
      <c r="AT53" s="27" t="str">
        <f>""</f>
        <v/>
      </c>
      <c r="AU53" s="27" t="str">
        <f>""</f>
        <v/>
      </c>
      <c r="AV53" s="27" t="str">
        <f>""</f>
        <v/>
      </c>
      <c r="AW53" s="27" t="str">
        <f>"18,00"</f>
        <v>18,00</v>
      </c>
      <c r="AX53" s="27" t="str">
        <f>"2044-2046"</f>
        <v>2044-2046</v>
      </c>
      <c r="AY53" s="27" t="str">
        <f t="shared" si="49"/>
        <v>нет</v>
      </c>
      <c r="AZ53" s="27" t="str">
        <f>""</f>
        <v/>
      </c>
      <c r="BA53" s="27" t="str">
        <f>""</f>
        <v/>
      </c>
      <c r="BB53" s="27" t="str">
        <f>""</f>
        <v/>
      </c>
      <c r="BC53" s="27" t="str">
        <f t="shared" si="51"/>
        <v>нет</v>
      </c>
      <c r="BD53" s="27" t="str">
        <f>""</f>
        <v/>
      </c>
      <c r="BE53" s="27" t="str">
        <f>""</f>
        <v/>
      </c>
      <c r="BF53" s="27" t="str">
        <f>""</f>
        <v/>
      </c>
      <c r="BG53" s="27" t="str">
        <f>""</f>
        <v/>
      </c>
      <c r="BH53" s="27" t="str">
        <f>"18,00"</f>
        <v>18,00</v>
      </c>
      <c r="BI53" s="27" t="str">
        <f>"2039-2041"</f>
        <v>2039-2041</v>
      </c>
      <c r="BJ53" s="27" t="str">
        <f t="shared" si="53"/>
        <v>нет</v>
      </c>
      <c r="BK53" s="27" t="str">
        <f>"x"</f>
        <v>x</v>
      </c>
      <c r="BL53" s="27" t="str">
        <f>"5,00"</f>
        <v>5,00</v>
      </c>
      <c r="BM53" s="27" t="str">
        <f>"2044-2046"</f>
        <v>2044-2046</v>
      </c>
      <c r="BN53" s="27" t="str">
        <f>""</f>
        <v/>
      </c>
      <c r="BO53" s="27" t="str">
        <f>"20,00"</f>
        <v>20,00</v>
      </c>
      <c r="BP53" s="27" t="str">
        <f>"2034-2036"</f>
        <v>2034-2036</v>
      </c>
      <c r="BQ53" s="27" t="str">
        <f>""</f>
        <v/>
      </c>
      <c r="BR53" s="27" t="str">
        <f>"3,00"</f>
        <v>3,00</v>
      </c>
      <c r="BS53" s="27" t="str">
        <f>"2044-2046"</f>
        <v>2044-2046</v>
      </c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  <c r="DB53" s="11"/>
      <c r="DC53" s="11"/>
      <c r="DD53" s="11"/>
      <c r="DE53" s="11"/>
      <c r="DF53" s="11"/>
      <c r="DG53" s="11"/>
      <c r="DH53" s="11"/>
      <c r="DI53" s="11"/>
      <c r="DJ53" s="11"/>
      <c r="DK53" s="11"/>
      <c r="DL53" s="11"/>
      <c r="DM53" s="11"/>
      <c r="DN53" s="11"/>
      <c r="DO53" s="11"/>
    </row>
    <row r="54" spans="1:119" s="10" customFormat="1" ht="11.25" customHeight="1">
      <c r="A54" s="24" t="str">
        <f>"1.41"</f>
        <v>1.41</v>
      </c>
      <c r="B54" s="25" t="str">
        <f>"г. Кириллов, ул. Ленина, д.116"</f>
        <v>г. Кириллов, ул. Ленина, д.116</v>
      </c>
      <c r="C54" s="26" t="str">
        <f>"1969"</f>
        <v>1969</v>
      </c>
      <c r="D54" s="27" t="str">
        <f>"2009"</f>
        <v>2009</v>
      </c>
      <c r="E54" s="27" t="str">
        <f>"20,00"</f>
        <v>20,00</v>
      </c>
      <c r="F54" s="27" t="str">
        <f>"2031-2033"</f>
        <v>2031-2033</v>
      </c>
      <c r="G54" s="27" t="str">
        <f t="shared" si="55"/>
        <v>да</v>
      </c>
      <c r="H54" s="27" t="str">
        <f>"2009"</f>
        <v>2009</v>
      </c>
      <c r="I54" s="27" t="str">
        <f>"19,00"</f>
        <v>19,00</v>
      </c>
      <c r="J54" s="27" t="str">
        <f>"2025-2027"</f>
        <v>2025-2027</v>
      </c>
      <c r="K54" s="27" t="str">
        <f t="shared" si="41"/>
        <v>нет</v>
      </c>
      <c r="L54" s="27" t="str">
        <f>""</f>
        <v/>
      </c>
      <c r="M54" s="27" t="str">
        <f>""</f>
        <v/>
      </c>
      <c r="N54" s="27" t="str">
        <f>""</f>
        <v/>
      </c>
      <c r="O54" s="28" t="str">
        <f>"2009"</f>
        <v>2009</v>
      </c>
      <c r="P54" s="27" t="str">
        <f>"12,00"</f>
        <v>12,00</v>
      </c>
      <c r="Q54" s="27" t="str">
        <f>"2039-2041"</f>
        <v>2039-2041</v>
      </c>
      <c r="R54" s="27" t="str">
        <f>"да"</f>
        <v>да</v>
      </c>
      <c r="S54" s="27" t="str">
        <f>"2010"</f>
        <v>2010</v>
      </c>
      <c r="T54" s="27" t="str">
        <f>"19,00"</f>
        <v>19,00</v>
      </c>
      <c r="U54" s="27" t="str">
        <f>"2026-2028"</f>
        <v>2026-2028</v>
      </c>
      <c r="V54" s="27" t="str">
        <f t="shared" si="42"/>
        <v>нет</v>
      </c>
      <c r="W54" s="27" t="str">
        <f>""</f>
        <v/>
      </c>
      <c r="X54" s="27" t="str">
        <f>""</f>
        <v/>
      </c>
      <c r="Y54" s="29" t="str">
        <f>""</f>
        <v/>
      </c>
      <c r="Z54" s="27" t="str">
        <f t="shared" si="34"/>
        <v>х</v>
      </c>
      <c r="AA54" s="27" t="str">
        <f>"х"</f>
        <v>х</v>
      </c>
      <c r="AB54" s="27" t="str">
        <f>"х"</f>
        <v>х</v>
      </c>
      <c r="AC54" s="27" t="str">
        <f t="shared" si="43"/>
        <v>нет</v>
      </c>
      <c r="AD54" s="27" t="str">
        <f t="shared" ref="AD54:AF64" si="56">"х"</f>
        <v>х</v>
      </c>
      <c r="AE54" s="27" t="str">
        <f t="shared" si="56"/>
        <v>х</v>
      </c>
      <c r="AF54" s="27" t="str">
        <f t="shared" si="56"/>
        <v>х</v>
      </c>
      <c r="AG54" s="27" t="str">
        <f t="shared" si="5"/>
        <v>нет</v>
      </c>
      <c r="AH54" s="27" t="str">
        <f t="shared" ref="AH54:AJ64" si="57">"х"</f>
        <v>х</v>
      </c>
      <c r="AI54" s="27" t="str">
        <f t="shared" si="57"/>
        <v>х</v>
      </c>
      <c r="AJ54" s="27" t="str">
        <f t="shared" si="57"/>
        <v>х</v>
      </c>
      <c r="AK54" s="28" t="str">
        <f>"2009"</f>
        <v>2009</v>
      </c>
      <c r="AL54" s="27" t="str">
        <f>"10,00"</f>
        <v>10,00</v>
      </c>
      <c r="AM54" s="27" t="str">
        <f>"2045-2047"</f>
        <v>2045-2047</v>
      </c>
      <c r="AN54" s="30" t="str">
        <f>"да"</f>
        <v>да</v>
      </c>
      <c r="AO54" s="27" t="str">
        <f>"2009"</f>
        <v>2009</v>
      </c>
      <c r="AP54" s="27" t="str">
        <f>"66,00"</f>
        <v>66,00</v>
      </c>
      <c r="AQ54" s="27" t="str">
        <f>"2015-2017"</f>
        <v>2015-2017</v>
      </c>
      <c r="AR54" s="27" t="str">
        <f t="shared" si="46"/>
        <v>нет</v>
      </c>
      <c r="AS54" s="27" t="str">
        <f>""</f>
        <v/>
      </c>
      <c r="AT54" s="27" t="str">
        <f>""</f>
        <v/>
      </c>
      <c r="AU54" s="27" t="str">
        <f>""</f>
        <v/>
      </c>
      <c r="AV54" s="27" t="str">
        <f>"2009"</f>
        <v>2009</v>
      </c>
      <c r="AW54" s="27" t="str">
        <f>"66,00"</f>
        <v>66,00</v>
      </c>
      <c r="AX54" s="27" t="str">
        <f>"2045-2047"</f>
        <v>2045-2047</v>
      </c>
      <c r="AY54" s="27" t="str">
        <f t="shared" si="49"/>
        <v>нет</v>
      </c>
      <c r="AZ54" s="27" t="str">
        <f>""</f>
        <v/>
      </c>
      <c r="BA54" s="27" t="str">
        <f>""</f>
        <v/>
      </c>
      <c r="BB54" s="27" t="str">
        <f>""</f>
        <v/>
      </c>
      <c r="BC54" s="27" t="str">
        <f t="shared" si="51"/>
        <v>нет</v>
      </c>
      <c r="BD54" s="27" t="str">
        <f>""</f>
        <v/>
      </c>
      <c r="BE54" s="27" t="str">
        <f>""</f>
        <v/>
      </c>
      <c r="BF54" s="27" t="str">
        <f>""</f>
        <v/>
      </c>
      <c r="BG54" s="27" t="str">
        <f>"2009"</f>
        <v>2009</v>
      </c>
      <c r="BH54" s="27" t="str">
        <f>"27,00"</f>
        <v>27,00</v>
      </c>
      <c r="BI54" s="27" t="str">
        <f>"2031-2033"</f>
        <v>2031-2033</v>
      </c>
      <c r="BJ54" s="27" t="str">
        <f t="shared" si="53"/>
        <v>нет</v>
      </c>
      <c r="BK54" s="27" t="str">
        <f>"x"</f>
        <v>x</v>
      </c>
      <c r="BL54" s="27" t="str">
        <f>"60,00"</f>
        <v>60,00</v>
      </c>
      <c r="BM54" s="27" t="str">
        <f>"2020-2022"</f>
        <v>2020-2022</v>
      </c>
      <c r="BN54" s="27" t="str">
        <f>""</f>
        <v/>
      </c>
      <c r="BO54" s="27" t="str">
        <f>"60,00"</f>
        <v>60,00</v>
      </c>
      <c r="BP54" s="27" t="str">
        <f>"2025-2027"</f>
        <v>2025-2027</v>
      </c>
      <c r="BQ54" s="27" t="str">
        <f>""</f>
        <v/>
      </c>
      <c r="BR54" s="27" t="str">
        <f>"60,00"</f>
        <v>60,00</v>
      </c>
      <c r="BS54" s="27" t="str">
        <f>"2020-2022"</f>
        <v>2020-2022</v>
      </c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</row>
    <row r="55" spans="1:119" s="9" customFormat="1" ht="11.25" customHeight="1">
      <c r="A55" s="24" t="str">
        <f>"1.42"</f>
        <v>1.42</v>
      </c>
      <c r="B55" s="25" t="str">
        <f>"г. Кириллов, ул. Ленина, д.116А"</f>
        <v>г. Кириллов, ул. Ленина, д.116А</v>
      </c>
      <c r="C55" s="26" t="str">
        <f>"1978"</f>
        <v>1978</v>
      </c>
      <c r="D55" s="27" t="str">
        <f>"2009"</f>
        <v>2009</v>
      </c>
      <c r="E55" s="27" t="str">
        <f>"20,00"</f>
        <v>20,00</v>
      </c>
      <c r="F55" s="27" t="str">
        <f>"2031-2033"</f>
        <v>2031-2033</v>
      </c>
      <c r="G55" s="27" t="str">
        <f t="shared" si="55"/>
        <v>да</v>
      </c>
      <c r="H55" s="27" t="str">
        <f>"2009"</f>
        <v>2009</v>
      </c>
      <c r="I55" s="27" t="str">
        <f>"19,00"</f>
        <v>19,00</v>
      </c>
      <c r="J55" s="27" t="str">
        <f>"2025-2027"</f>
        <v>2025-2027</v>
      </c>
      <c r="K55" s="27" t="str">
        <f t="shared" si="41"/>
        <v>нет</v>
      </c>
      <c r="L55" s="27" t="str">
        <f>""</f>
        <v/>
      </c>
      <c r="M55" s="27" t="str">
        <f>""</f>
        <v/>
      </c>
      <c r="N55" s="27" t="str">
        <f>""</f>
        <v/>
      </c>
      <c r="O55" s="28" t="str">
        <f>"2009"</f>
        <v>2009</v>
      </c>
      <c r="P55" s="27" t="str">
        <f>"12,00"</f>
        <v>12,00</v>
      </c>
      <c r="Q55" s="27" t="str">
        <f>"2039-2041"</f>
        <v>2039-2041</v>
      </c>
      <c r="R55" s="27" t="str">
        <f>"да"</f>
        <v>да</v>
      </c>
      <c r="S55" s="27" t="str">
        <f>"2009"</f>
        <v>2009</v>
      </c>
      <c r="T55" s="27" t="str">
        <f>"19,00"</f>
        <v>19,00</v>
      </c>
      <c r="U55" s="27" t="str">
        <f>"2025-2027"</f>
        <v>2025-2027</v>
      </c>
      <c r="V55" s="27" t="str">
        <f t="shared" si="42"/>
        <v>нет</v>
      </c>
      <c r="W55" s="27" t="str">
        <f>""</f>
        <v/>
      </c>
      <c r="X55" s="27" t="str">
        <f>""</f>
        <v/>
      </c>
      <c r="Y55" s="29" t="str">
        <f>""</f>
        <v/>
      </c>
      <c r="Z55" s="27" t="str">
        <f t="shared" si="34"/>
        <v>х</v>
      </c>
      <c r="AA55" s="27" t="str">
        <f>"59,00"</f>
        <v>59,00</v>
      </c>
      <c r="AB55" s="27" t="str">
        <f>"2025-2027"</f>
        <v>2025-2027</v>
      </c>
      <c r="AC55" s="27" t="str">
        <f t="shared" si="43"/>
        <v>нет</v>
      </c>
      <c r="AD55" s="27" t="str">
        <f t="shared" si="56"/>
        <v>х</v>
      </c>
      <c r="AE55" s="27" t="str">
        <f t="shared" si="56"/>
        <v>х</v>
      </c>
      <c r="AF55" s="27" t="str">
        <f t="shared" si="56"/>
        <v>х</v>
      </c>
      <c r="AG55" s="27" t="str">
        <f t="shared" si="5"/>
        <v>нет</v>
      </c>
      <c r="AH55" s="27" t="str">
        <f t="shared" si="57"/>
        <v>х</v>
      </c>
      <c r="AI55" s="27" t="str">
        <f t="shared" si="57"/>
        <v>х</v>
      </c>
      <c r="AJ55" s="27" t="str">
        <f t="shared" si="57"/>
        <v>х</v>
      </c>
      <c r="AK55" s="28" t="str">
        <f>"2009"</f>
        <v>2009</v>
      </c>
      <c r="AL55" s="27" t="str">
        <f>"10,00"</f>
        <v>10,00</v>
      </c>
      <c r="AM55" s="27" t="str">
        <f>"2045-2047"</f>
        <v>2045-2047</v>
      </c>
      <c r="AN55" s="30" t="str">
        <f>"да"</f>
        <v>да</v>
      </c>
      <c r="AO55" s="27" t="str">
        <f>"2009"</f>
        <v>2009</v>
      </c>
      <c r="AP55" s="27" t="str">
        <f>"66,00"</f>
        <v>66,00</v>
      </c>
      <c r="AQ55" s="27" t="str">
        <f>"2015-2017"</f>
        <v>2015-2017</v>
      </c>
      <c r="AR55" s="27" t="str">
        <f t="shared" si="46"/>
        <v>нет</v>
      </c>
      <c r="AS55" s="27" t="str">
        <f>""</f>
        <v/>
      </c>
      <c r="AT55" s="27" t="str">
        <f>""</f>
        <v/>
      </c>
      <c r="AU55" s="27" t="str">
        <f>""</f>
        <v/>
      </c>
      <c r="AV55" s="27" t="str">
        <f>"2009"</f>
        <v>2009</v>
      </c>
      <c r="AW55" s="27" t="str">
        <f>"7,00"</f>
        <v>7,00</v>
      </c>
      <c r="AX55" s="27" t="str">
        <f>"2045-2047"</f>
        <v>2045-2047</v>
      </c>
      <c r="AY55" s="27" t="str">
        <f t="shared" si="49"/>
        <v>нет</v>
      </c>
      <c r="AZ55" s="27" t="str">
        <f>""</f>
        <v/>
      </c>
      <c r="BA55" s="27" t="str">
        <f>""</f>
        <v/>
      </c>
      <c r="BB55" s="27" t="str">
        <f>""</f>
        <v/>
      </c>
      <c r="BC55" s="27" t="str">
        <f t="shared" si="51"/>
        <v>нет</v>
      </c>
      <c r="BD55" s="27" t="str">
        <f>""</f>
        <v/>
      </c>
      <c r="BE55" s="27" t="str">
        <f>""</f>
        <v/>
      </c>
      <c r="BF55" s="27" t="str">
        <f>""</f>
        <v/>
      </c>
      <c r="BG55" s="27" t="str">
        <f>"2009"</f>
        <v>2009</v>
      </c>
      <c r="BH55" s="27" t="str">
        <f>"27,00"</f>
        <v>27,00</v>
      </c>
      <c r="BI55" s="27" t="str">
        <f>"2029-2031"</f>
        <v>2029-2031</v>
      </c>
      <c r="BJ55" s="27" t="str">
        <f t="shared" si="53"/>
        <v>нет</v>
      </c>
      <c r="BK55" s="27" t="str">
        <f>"2009"</f>
        <v>2009</v>
      </c>
      <c r="BL55" s="27" t="str">
        <f>"6,00"</f>
        <v>6,00</v>
      </c>
      <c r="BM55" s="27" t="str">
        <f>"2045-2047"</f>
        <v>2045-2047</v>
      </c>
      <c r="BN55" s="27" t="str">
        <f>""</f>
        <v/>
      </c>
      <c r="BO55" s="27" t="str">
        <f>"60,00"</f>
        <v>60,00</v>
      </c>
      <c r="BP55" s="27" t="str">
        <f>"2027-2029"</f>
        <v>2027-2029</v>
      </c>
      <c r="BQ55" s="27" t="str">
        <f>"2009"</f>
        <v>2009</v>
      </c>
      <c r="BR55" s="27" t="str">
        <f>"6,00"</f>
        <v>6,00</v>
      </c>
      <c r="BS55" s="27" t="str">
        <f>"2045-2047"</f>
        <v>2045-2047</v>
      </c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  <c r="DB55" s="11"/>
      <c r="DC55" s="11"/>
      <c r="DD55" s="11"/>
      <c r="DE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</row>
    <row r="56" spans="1:119" s="9" customFormat="1" ht="11.25" customHeight="1">
      <c r="A56" s="24" t="str">
        <f>"1.43"</f>
        <v>1.43</v>
      </c>
      <c r="B56" s="25" t="str">
        <f>"г. Кириллов, ул. Ленина, д.120"</f>
        <v>г. Кириллов, ул. Ленина, д.120</v>
      </c>
      <c r="C56" s="26" t="str">
        <f>"1972"</f>
        <v>1972</v>
      </c>
      <c r="D56" s="27" t="str">
        <f>"2009"</f>
        <v>2009</v>
      </c>
      <c r="E56" s="27" t="str">
        <f>"20,00"</f>
        <v>20,00</v>
      </c>
      <c r="F56" s="27" t="str">
        <f>"2031-2033"</f>
        <v>2031-2033</v>
      </c>
      <c r="G56" s="27" t="str">
        <f t="shared" si="55"/>
        <v>да</v>
      </c>
      <c r="H56" s="27" t="str">
        <f>"2009"</f>
        <v>2009</v>
      </c>
      <c r="I56" s="27" t="str">
        <f>"25,00"</f>
        <v>25,00</v>
      </c>
      <c r="J56" s="27" t="str">
        <f>"2025-2027"</f>
        <v>2025-2027</v>
      </c>
      <c r="K56" s="27" t="str">
        <f t="shared" si="41"/>
        <v>нет</v>
      </c>
      <c r="L56" s="27" t="str">
        <f>""</f>
        <v/>
      </c>
      <c r="M56" s="27" t="str">
        <f>""</f>
        <v/>
      </c>
      <c r="N56" s="27" t="str">
        <f>""</f>
        <v/>
      </c>
      <c r="O56" s="28" t="str">
        <f>"2009"</f>
        <v>2009</v>
      </c>
      <c r="P56" s="27" t="str">
        <f>"16,00"</f>
        <v>16,00</v>
      </c>
      <c r="Q56" s="27" t="str">
        <f>"2039-2041"</f>
        <v>2039-2041</v>
      </c>
      <c r="R56" s="27" t="str">
        <f>"да"</f>
        <v>да</v>
      </c>
      <c r="S56" s="27" t="str">
        <f>"2009"</f>
        <v>2009</v>
      </c>
      <c r="T56" s="27" t="str">
        <f>"25,00"</f>
        <v>25,00</v>
      </c>
      <c r="U56" s="27" t="str">
        <f>"2025-2027"</f>
        <v>2025-2027</v>
      </c>
      <c r="V56" s="27" t="str">
        <f t="shared" si="42"/>
        <v>нет</v>
      </c>
      <c r="W56" s="27" t="str">
        <f>""</f>
        <v/>
      </c>
      <c r="X56" s="27" t="str">
        <f>""</f>
        <v/>
      </c>
      <c r="Y56" s="29" t="str">
        <f>""</f>
        <v/>
      </c>
      <c r="Z56" s="27" t="str">
        <f t="shared" si="34"/>
        <v>х</v>
      </c>
      <c r="AA56" s="27" t="str">
        <f t="shared" ref="AA56:AB58" si="58">"х"</f>
        <v>х</v>
      </c>
      <c r="AB56" s="27" t="str">
        <f t="shared" si="58"/>
        <v>х</v>
      </c>
      <c r="AC56" s="27" t="str">
        <f t="shared" si="43"/>
        <v>нет</v>
      </c>
      <c r="AD56" s="27" t="str">
        <f t="shared" si="56"/>
        <v>х</v>
      </c>
      <c r="AE56" s="27" t="str">
        <f t="shared" si="56"/>
        <v>х</v>
      </c>
      <c r="AF56" s="27" t="str">
        <f t="shared" si="56"/>
        <v>х</v>
      </c>
      <c r="AG56" s="27" t="str">
        <f t="shared" si="5"/>
        <v>нет</v>
      </c>
      <c r="AH56" s="27" t="str">
        <f t="shared" si="57"/>
        <v>х</v>
      </c>
      <c r="AI56" s="27" t="str">
        <f t="shared" si="57"/>
        <v>х</v>
      </c>
      <c r="AJ56" s="27" t="str">
        <f t="shared" si="57"/>
        <v>х</v>
      </c>
      <c r="AK56" s="28" t="str">
        <f>"2009"</f>
        <v>2009</v>
      </c>
      <c r="AL56" s="27" t="str">
        <f>"13,00"</f>
        <v>13,00</v>
      </c>
      <c r="AM56" s="27" t="str">
        <f>"2045-2047"</f>
        <v>2045-2047</v>
      </c>
      <c r="AN56" s="30" t="str">
        <f>"да"</f>
        <v>да</v>
      </c>
      <c r="AO56" s="27" t="str">
        <f>"2009"</f>
        <v>2009</v>
      </c>
      <c r="AP56" s="27" t="str">
        <f>"67,00"</f>
        <v>67,00</v>
      </c>
      <c r="AQ56" s="27" t="str">
        <f>"2015-2017"</f>
        <v>2015-2017</v>
      </c>
      <c r="AR56" s="27" t="str">
        <f t="shared" si="46"/>
        <v>нет</v>
      </c>
      <c r="AS56" s="27" t="str">
        <f>""</f>
        <v/>
      </c>
      <c r="AT56" s="27" t="str">
        <f>""</f>
        <v/>
      </c>
      <c r="AU56" s="27" t="str">
        <f>""</f>
        <v/>
      </c>
      <c r="AV56" s="27" t="str">
        <f>""</f>
        <v/>
      </c>
      <c r="AW56" s="27" t="str">
        <f>"82,00"</f>
        <v>82,00</v>
      </c>
      <c r="AX56" s="27" t="str">
        <f>"2023-2025"</f>
        <v>2023-2025</v>
      </c>
      <c r="AY56" s="27" t="str">
        <f t="shared" si="49"/>
        <v>нет</v>
      </c>
      <c r="AZ56" s="27" t="str">
        <f>""</f>
        <v/>
      </c>
      <c r="BA56" s="27" t="str">
        <f>""</f>
        <v/>
      </c>
      <c r="BB56" s="27" t="str">
        <f>""</f>
        <v/>
      </c>
      <c r="BC56" s="27" t="str">
        <f t="shared" si="51"/>
        <v>нет</v>
      </c>
      <c r="BD56" s="27" t="str">
        <f>""</f>
        <v/>
      </c>
      <c r="BE56" s="27" t="str">
        <f>""</f>
        <v/>
      </c>
      <c r="BF56" s="27" t="str">
        <f>""</f>
        <v/>
      </c>
      <c r="BG56" s="27" t="str">
        <f>"2009"</f>
        <v>2009</v>
      </c>
      <c r="BH56" s="27" t="str">
        <f>"27,00"</f>
        <v>27,00</v>
      </c>
      <c r="BI56" s="27" t="str">
        <f>"2029-2031"</f>
        <v>2029-2031</v>
      </c>
      <c r="BJ56" s="27" t="str">
        <f t="shared" si="53"/>
        <v>нет</v>
      </c>
      <c r="BK56" s="27" t="str">
        <f t="shared" ref="BK56:BK71" si="59">"x"</f>
        <v>x</v>
      </c>
      <c r="BL56" s="27" t="str">
        <f>"60,00"</f>
        <v>60,00</v>
      </c>
      <c r="BM56" s="27" t="str">
        <f>"2020-2022"</f>
        <v>2020-2022</v>
      </c>
      <c r="BN56" s="27" t="str">
        <f>""</f>
        <v/>
      </c>
      <c r="BO56" s="27" t="str">
        <f>"60,00"</f>
        <v>60,00</v>
      </c>
      <c r="BP56" s="27" t="str">
        <f>"2026-2028"</f>
        <v>2026-2028</v>
      </c>
      <c r="BQ56" s="27" t="str">
        <f>""</f>
        <v/>
      </c>
      <c r="BR56" s="27" t="str">
        <f>"60,00"</f>
        <v>60,00</v>
      </c>
      <c r="BS56" s="27" t="str">
        <f>"2020-2022"</f>
        <v>2020-2022</v>
      </c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  <c r="DB56" s="11"/>
      <c r="DC56" s="11"/>
      <c r="DD56" s="11"/>
      <c r="DE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</row>
    <row r="57" spans="1:119" s="9" customFormat="1" ht="10.9" customHeight="1">
      <c r="A57" s="24" t="str">
        <f>"1.44"</f>
        <v>1.44</v>
      </c>
      <c r="B57" s="25" t="str">
        <f>"г. Кириллов, ул. Ленина, д.120А"</f>
        <v>г. Кириллов, ул. Ленина, д.120А</v>
      </c>
      <c r="C57" s="26" t="str">
        <f>"1980"</f>
        <v>1980</v>
      </c>
      <c r="D57" s="27" t="str">
        <f>""</f>
        <v/>
      </c>
      <c r="E57" s="27" t="str">
        <f>"65,00"</f>
        <v>65,00</v>
      </c>
      <c r="F57" s="27" t="str">
        <f>"2023-2025"</f>
        <v>2023-2025</v>
      </c>
      <c r="G57" s="27" t="str">
        <f t="shared" si="55"/>
        <v>да</v>
      </c>
      <c r="H57" s="27" t="str">
        <f>"2009"</f>
        <v>2009</v>
      </c>
      <c r="I57" s="27" t="str">
        <f>"25,00"</f>
        <v>25,00</v>
      </c>
      <c r="J57" s="27" t="str">
        <f>"2025-2027"</f>
        <v>2025-2027</v>
      </c>
      <c r="K57" s="27" t="str">
        <f t="shared" si="41"/>
        <v>нет</v>
      </c>
      <c r="L57" s="27" t="str">
        <f>""</f>
        <v/>
      </c>
      <c r="M57" s="27" t="str">
        <f>""</f>
        <v/>
      </c>
      <c r="N57" s="27" t="str">
        <f>""</f>
        <v/>
      </c>
      <c r="O57" s="28" t="str">
        <f>""</f>
        <v/>
      </c>
      <c r="P57" s="27" t="str">
        <f>"80,00"</f>
        <v>80,00</v>
      </c>
      <c r="Q57" s="27" t="str">
        <f>"2025-2027"</f>
        <v>2025-2027</v>
      </c>
      <c r="R57" s="27">
        <v>2015</v>
      </c>
      <c r="S57" s="27" t="str">
        <f>""</f>
        <v/>
      </c>
      <c r="T57" s="27" t="str">
        <f>""</f>
        <v/>
      </c>
      <c r="U57" s="27">
        <v>2030</v>
      </c>
      <c r="V57" s="27" t="str">
        <f t="shared" si="42"/>
        <v>нет</v>
      </c>
      <c r="W57" s="27" t="str">
        <f>""</f>
        <v/>
      </c>
      <c r="X57" s="27" t="str">
        <f>""</f>
        <v/>
      </c>
      <c r="Y57" s="29" t="str">
        <f>""</f>
        <v/>
      </c>
      <c r="Z57" s="27" t="str">
        <f t="shared" si="34"/>
        <v>х</v>
      </c>
      <c r="AA57" s="27" t="str">
        <f t="shared" si="58"/>
        <v>х</v>
      </c>
      <c r="AB57" s="27" t="str">
        <f t="shared" si="58"/>
        <v>х</v>
      </c>
      <c r="AC57" s="27" t="str">
        <f t="shared" si="43"/>
        <v>нет</v>
      </c>
      <c r="AD57" s="27" t="str">
        <f t="shared" si="56"/>
        <v>х</v>
      </c>
      <c r="AE57" s="27" t="str">
        <f t="shared" si="56"/>
        <v>х</v>
      </c>
      <c r="AF57" s="27" t="str">
        <f t="shared" si="56"/>
        <v>х</v>
      </c>
      <c r="AG57" s="27" t="str">
        <f t="shared" si="5"/>
        <v>нет</v>
      </c>
      <c r="AH57" s="27" t="str">
        <f t="shared" si="57"/>
        <v>х</v>
      </c>
      <c r="AI57" s="27" t="str">
        <f t="shared" si="57"/>
        <v>х</v>
      </c>
      <c r="AJ57" s="27" t="str">
        <f t="shared" si="57"/>
        <v>х</v>
      </c>
      <c r="AK57" s="28" t="str">
        <f>""</f>
        <v/>
      </c>
      <c r="AL57" s="27" t="str">
        <f>"80,00"</f>
        <v>80,00</v>
      </c>
      <c r="AM57" s="27" t="str">
        <f>"2027-2029"</f>
        <v>2027-2029</v>
      </c>
      <c r="AN57" s="30">
        <v>2014</v>
      </c>
      <c r="AO57" s="27" t="str">
        <f>""</f>
        <v/>
      </c>
      <c r="AP57" s="27" t="str">
        <f>""</f>
        <v/>
      </c>
      <c r="AQ57" s="27">
        <v>2030</v>
      </c>
      <c r="AR57" s="27" t="str">
        <f t="shared" si="46"/>
        <v>нет</v>
      </c>
      <c r="AS57" s="27" t="str">
        <f>""</f>
        <v/>
      </c>
      <c r="AT57" s="27" t="str">
        <f>""</f>
        <v/>
      </c>
      <c r="AU57" s="27" t="str">
        <f>""</f>
        <v/>
      </c>
      <c r="AV57" s="27" t="str">
        <f>""</f>
        <v/>
      </c>
      <c r="AW57" s="27" t="str">
        <f>"66,00"</f>
        <v>66,00</v>
      </c>
      <c r="AX57" s="27" t="str">
        <f>"2020-2022"</f>
        <v>2020-2022</v>
      </c>
      <c r="AY57" s="27" t="str">
        <f t="shared" si="49"/>
        <v>нет</v>
      </c>
      <c r="AZ57" s="27" t="str">
        <f>""</f>
        <v/>
      </c>
      <c r="BA57" s="27" t="str">
        <f>""</f>
        <v/>
      </c>
      <c r="BB57" s="27" t="str">
        <f>""</f>
        <v/>
      </c>
      <c r="BC57" s="27" t="str">
        <f t="shared" si="51"/>
        <v>нет</v>
      </c>
      <c r="BD57" s="27" t="str">
        <f>""</f>
        <v/>
      </c>
      <c r="BE57" s="27" t="str">
        <f>""</f>
        <v/>
      </c>
      <c r="BF57" s="27" t="str">
        <f>""</f>
        <v/>
      </c>
      <c r="BG57" s="27" t="str">
        <f>""</f>
        <v/>
      </c>
      <c r="BH57" s="27" t="str">
        <f>"60,00"</f>
        <v>60,00</v>
      </c>
      <c r="BI57" s="27" t="str">
        <f>"2035-2037"</f>
        <v>2035-2037</v>
      </c>
      <c r="BJ57" s="27" t="str">
        <f t="shared" si="53"/>
        <v>нет</v>
      </c>
      <c r="BK57" s="27" t="str">
        <f t="shared" si="59"/>
        <v>x</v>
      </c>
      <c r="BL57" s="27" t="str">
        <f>"55,00"</f>
        <v>55,00</v>
      </c>
      <c r="BM57" s="27" t="str">
        <f>"2028-2030"</f>
        <v>2028-2030</v>
      </c>
      <c r="BN57" s="27" t="str">
        <f>""</f>
        <v/>
      </c>
      <c r="BO57" s="27" t="str">
        <f>"50,00"</f>
        <v>50,00</v>
      </c>
      <c r="BP57" s="27" t="str">
        <f>"2037-2039"</f>
        <v>2037-2039</v>
      </c>
      <c r="BQ57" s="27" t="str">
        <f>""</f>
        <v/>
      </c>
      <c r="BR57" s="27" t="str">
        <f>"55,00"</f>
        <v>55,00</v>
      </c>
      <c r="BS57" s="27" t="str">
        <f>"2028-2030"</f>
        <v>2028-2030</v>
      </c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</row>
    <row r="58" spans="1:119" s="10" customFormat="1" ht="11.25" customHeight="1">
      <c r="A58" s="24" t="str">
        <f>"1.45"</f>
        <v>1.45</v>
      </c>
      <c r="B58" s="25" t="str">
        <f>"г. Кириллов, ул. Ленина, д.122В"</f>
        <v>г. Кириллов, ул. Ленина, д.122В</v>
      </c>
      <c r="C58" s="26" t="str">
        <f>"1987"</f>
        <v>1987</v>
      </c>
      <c r="D58" s="27" t="str">
        <f>"1987"</f>
        <v>1987</v>
      </c>
      <c r="E58" s="27" t="str">
        <f>"95,00"</f>
        <v>95,00</v>
      </c>
      <c r="F58" s="27" t="str">
        <f>"2026-2028"</f>
        <v>2026-2028</v>
      </c>
      <c r="G58" s="27" t="str">
        <f t="shared" si="55"/>
        <v>да</v>
      </c>
      <c r="H58" s="27" t="str">
        <f>"2011"</f>
        <v>2011</v>
      </c>
      <c r="I58" s="27" t="str">
        <f>"13,00"</f>
        <v>13,00</v>
      </c>
      <c r="J58" s="27" t="str">
        <f>"2027-2029"</f>
        <v>2027-2029</v>
      </c>
      <c r="K58" s="27" t="str">
        <f t="shared" si="41"/>
        <v>нет</v>
      </c>
      <c r="L58" s="27" t="str">
        <f>""</f>
        <v/>
      </c>
      <c r="M58" s="27" t="str">
        <f>""</f>
        <v/>
      </c>
      <c r="N58" s="27" t="str">
        <f>""</f>
        <v/>
      </c>
      <c r="O58" s="28" t="str">
        <f>""</f>
        <v/>
      </c>
      <c r="P58" s="27" t="str">
        <f>""</f>
        <v/>
      </c>
      <c r="Q58" s="27" t="str">
        <f>""</f>
        <v/>
      </c>
      <c r="R58" s="27" t="str">
        <f>""</f>
        <v/>
      </c>
      <c r="S58" s="27" t="str">
        <f>""</f>
        <v/>
      </c>
      <c r="T58" s="27" t="str">
        <f>""</f>
        <v/>
      </c>
      <c r="U58" s="27" t="str">
        <f>""</f>
        <v/>
      </c>
      <c r="V58" s="27" t="str">
        <f t="shared" si="42"/>
        <v>нет</v>
      </c>
      <c r="W58" s="27" t="str">
        <f>""</f>
        <v/>
      </c>
      <c r="X58" s="27" t="str">
        <f>""</f>
        <v/>
      </c>
      <c r="Y58" s="29" t="str">
        <f>""</f>
        <v/>
      </c>
      <c r="Z58" s="27" t="str">
        <f t="shared" si="34"/>
        <v>х</v>
      </c>
      <c r="AA58" s="27" t="str">
        <f t="shared" si="58"/>
        <v>х</v>
      </c>
      <c r="AB58" s="27" t="str">
        <f t="shared" si="58"/>
        <v>х</v>
      </c>
      <c r="AC58" s="27" t="str">
        <f t="shared" si="43"/>
        <v>нет</v>
      </c>
      <c r="AD58" s="27" t="str">
        <f t="shared" si="56"/>
        <v>х</v>
      </c>
      <c r="AE58" s="27" t="str">
        <f t="shared" si="56"/>
        <v>х</v>
      </c>
      <c r="AF58" s="27" t="str">
        <f t="shared" si="56"/>
        <v>х</v>
      </c>
      <c r="AG58" s="27" t="str">
        <f t="shared" si="5"/>
        <v>нет</v>
      </c>
      <c r="AH58" s="27" t="str">
        <f t="shared" si="57"/>
        <v>х</v>
      </c>
      <c r="AI58" s="27" t="str">
        <f t="shared" si="57"/>
        <v>х</v>
      </c>
      <c r="AJ58" s="27" t="str">
        <f t="shared" si="57"/>
        <v>х</v>
      </c>
      <c r="AK58" s="28" t="str">
        <f>"2004"</f>
        <v>2004</v>
      </c>
      <c r="AL58" s="27" t="str">
        <f>"30,00"</f>
        <v>30,00</v>
      </c>
      <c r="AM58" s="27" t="str">
        <f>"2034-2036"</f>
        <v>2034-2036</v>
      </c>
      <c r="AN58" s="30" t="str">
        <f>"нет"</f>
        <v>нет</v>
      </c>
      <c r="AO58" s="27" t="str">
        <f>""</f>
        <v/>
      </c>
      <c r="AP58" s="27" t="str">
        <f>""</f>
        <v/>
      </c>
      <c r="AQ58" s="27" t="str">
        <f>""</f>
        <v/>
      </c>
      <c r="AR58" s="27" t="str">
        <f t="shared" si="46"/>
        <v>нет</v>
      </c>
      <c r="AS58" s="27" t="str">
        <f>""</f>
        <v/>
      </c>
      <c r="AT58" s="27" t="str">
        <f>""</f>
        <v/>
      </c>
      <c r="AU58" s="27" t="str">
        <f>""</f>
        <v/>
      </c>
      <c r="AV58" s="27" t="str">
        <f>"2004"</f>
        <v>2004</v>
      </c>
      <c r="AW58" s="27" t="str">
        <f>"18,00"</f>
        <v>18,00</v>
      </c>
      <c r="AX58" s="27" t="str">
        <f>"2044-2046"</f>
        <v>2044-2046</v>
      </c>
      <c r="AY58" s="27" t="str">
        <f t="shared" si="49"/>
        <v>нет</v>
      </c>
      <c r="AZ58" s="27" t="str">
        <f>""</f>
        <v/>
      </c>
      <c r="BA58" s="27" t="str">
        <f>""</f>
        <v/>
      </c>
      <c r="BB58" s="27" t="str">
        <f>""</f>
        <v/>
      </c>
      <c r="BC58" s="27" t="str">
        <f t="shared" si="51"/>
        <v>нет</v>
      </c>
      <c r="BD58" s="27" t="str">
        <f>""</f>
        <v/>
      </c>
      <c r="BE58" s="27" t="str">
        <f>""</f>
        <v/>
      </c>
      <c r="BF58" s="27" t="str">
        <f>""</f>
        <v/>
      </c>
      <c r="BG58" s="27" t="str">
        <f>""</f>
        <v/>
      </c>
      <c r="BH58" s="27" t="str">
        <f>"65,00"</f>
        <v>65,00</v>
      </c>
      <c r="BI58" s="27" t="str">
        <f>"2030-2032"</f>
        <v>2030-2032</v>
      </c>
      <c r="BJ58" s="27" t="str">
        <f t="shared" si="53"/>
        <v>нет</v>
      </c>
      <c r="BK58" s="27" t="str">
        <f t="shared" si="59"/>
        <v>x</v>
      </c>
      <c r="BL58" s="27" t="str">
        <f>"52,00"</f>
        <v>52,00</v>
      </c>
      <c r="BM58" s="27" t="str">
        <f>"2028-2030"</f>
        <v>2028-2030</v>
      </c>
      <c r="BN58" s="27" t="str">
        <f>""</f>
        <v/>
      </c>
      <c r="BO58" s="27" t="str">
        <f t="shared" ref="BO58:BO63" si="60">"60,00"</f>
        <v>60,00</v>
      </c>
      <c r="BP58" s="27" t="str">
        <f>"2035-2037"</f>
        <v>2035-2037</v>
      </c>
      <c r="BQ58" s="27" t="str">
        <f>""</f>
        <v/>
      </c>
      <c r="BR58" s="27" t="str">
        <f>"52,00"</f>
        <v>52,00</v>
      </c>
      <c r="BS58" s="27" t="str">
        <f>"2028-2030"</f>
        <v>2028-2030</v>
      </c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  <c r="DB58" s="11"/>
      <c r="DC58" s="11"/>
      <c r="DD58" s="11"/>
      <c r="DE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</row>
    <row r="59" spans="1:119" s="10" customFormat="1" ht="11.25" customHeight="1">
      <c r="A59" s="24" t="str">
        <f>"1.46"</f>
        <v>1.46</v>
      </c>
      <c r="B59" s="25" t="str">
        <f>"г. Кириллов, ул. Ленина, д.127"</f>
        <v>г. Кириллов, ул. Ленина, д.127</v>
      </c>
      <c r="C59" s="26" t="str">
        <f>"1971"</f>
        <v>1971</v>
      </c>
      <c r="D59" s="27" t="str">
        <f>"1971"</f>
        <v>1971</v>
      </c>
      <c r="E59" s="27" t="str">
        <f>"98,00"</f>
        <v>98,00</v>
      </c>
      <c r="F59" s="27" t="str">
        <f>"2017-2019"</f>
        <v>2017-2019</v>
      </c>
      <c r="G59" s="27" t="str">
        <f t="shared" si="55"/>
        <v>да</v>
      </c>
      <c r="H59" s="27" t="str">
        <f>"2010"</f>
        <v>2010</v>
      </c>
      <c r="I59" s="27" t="str">
        <f>"19,00"</f>
        <v>19,00</v>
      </c>
      <c r="J59" s="27" t="str">
        <f>"2026-2028"</f>
        <v>2026-2028</v>
      </c>
      <c r="K59" s="27" t="str">
        <f t="shared" si="41"/>
        <v>нет</v>
      </c>
      <c r="L59" s="27" t="str">
        <f>""</f>
        <v/>
      </c>
      <c r="M59" s="27" t="str">
        <f>""</f>
        <v/>
      </c>
      <c r="N59" s="27" t="str">
        <f>""</f>
        <v/>
      </c>
      <c r="O59" s="28" t="str">
        <f>"1971"</f>
        <v>1971</v>
      </c>
      <c r="P59" s="27" t="str">
        <f>"95,00"</f>
        <v>95,00</v>
      </c>
      <c r="Q59" s="27" t="str">
        <f>"2024-2026"</f>
        <v>2024-2026</v>
      </c>
      <c r="R59" s="27">
        <v>2015</v>
      </c>
      <c r="S59" s="27" t="str">
        <f>""</f>
        <v/>
      </c>
      <c r="T59" s="27" t="str">
        <f>""</f>
        <v/>
      </c>
      <c r="U59" s="27">
        <v>2030</v>
      </c>
      <c r="V59" s="27" t="str">
        <f t="shared" si="42"/>
        <v>нет</v>
      </c>
      <c r="W59" s="27" t="str">
        <f>""</f>
        <v/>
      </c>
      <c r="X59" s="27" t="str">
        <f>""</f>
        <v/>
      </c>
      <c r="Y59" s="29" t="str">
        <f>""</f>
        <v/>
      </c>
      <c r="Z59" s="27" t="str">
        <f t="shared" si="34"/>
        <v>х</v>
      </c>
      <c r="AA59" s="27" t="str">
        <f>"77,00"</f>
        <v>77,00</v>
      </c>
      <c r="AB59" s="27" t="str">
        <f>"2019-2021"</f>
        <v>2019-2021</v>
      </c>
      <c r="AC59" s="27" t="str">
        <f t="shared" si="43"/>
        <v>нет</v>
      </c>
      <c r="AD59" s="27" t="str">
        <f t="shared" si="56"/>
        <v>х</v>
      </c>
      <c r="AE59" s="27" t="str">
        <f t="shared" si="56"/>
        <v>х</v>
      </c>
      <c r="AF59" s="27" t="str">
        <f t="shared" si="56"/>
        <v>х</v>
      </c>
      <c r="AG59" s="27" t="str">
        <f t="shared" si="5"/>
        <v>нет</v>
      </c>
      <c r="AH59" s="27" t="str">
        <f t="shared" si="57"/>
        <v>х</v>
      </c>
      <c r="AI59" s="27" t="str">
        <f t="shared" si="57"/>
        <v>х</v>
      </c>
      <c r="AJ59" s="27" t="str">
        <f t="shared" si="57"/>
        <v>х</v>
      </c>
      <c r="AK59" s="28" t="str">
        <f>"2012"</f>
        <v>2012</v>
      </c>
      <c r="AL59" s="27" t="str">
        <f>"4,00"</f>
        <v>4,00</v>
      </c>
      <c r="AM59" s="27" t="str">
        <f>"2042-2044"</f>
        <v>2042-2044</v>
      </c>
      <c r="AN59" s="30">
        <v>2015</v>
      </c>
      <c r="AO59" s="27" t="str">
        <f>""</f>
        <v/>
      </c>
      <c r="AP59" s="27" t="str">
        <f>""</f>
        <v/>
      </c>
      <c r="AQ59" s="27">
        <v>2030</v>
      </c>
      <c r="AR59" s="27" t="str">
        <f t="shared" si="46"/>
        <v>нет</v>
      </c>
      <c r="AS59" s="27" t="str">
        <f>""</f>
        <v/>
      </c>
      <c r="AT59" s="27" t="str">
        <f>""</f>
        <v/>
      </c>
      <c r="AU59" s="27" t="str">
        <f>""</f>
        <v/>
      </c>
      <c r="AV59" s="27" t="str">
        <f>"1971"</f>
        <v>1971</v>
      </c>
      <c r="AW59" s="27" t="str">
        <f>"84,00"</f>
        <v>84,00</v>
      </c>
      <c r="AX59" s="27" t="str">
        <f>"2018-2020"</f>
        <v>2018-2020</v>
      </c>
      <c r="AY59" s="27" t="str">
        <f t="shared" si="49"/>
        <v>нет</v>
      </c>
      <c r="AZ59" s="27" t="str">
        <f>""</f>
        <v/>
      </c>
      <c r="BA59" s="27" t="str">
        <f>""</f>
        <v/>
      </c>
      <c r="BB59" s="27" t="str">
        <f>""</f>
        <v/>
      </c>
      <c r="BC59" s="27" t="str">
        <f t="shared" si="51"/>
        <v>нет</v>
      </c>
      <c r="BD59" s="27" t="str">
        <f>""</f>
        <v/>
      </c>
      <c r="BE59" s="27" t="str">
        <f>""</f>
        <v/>
      </c>
      <c r="BF59" s="27" t="str">
        <f>""</f>
        <v/>
      </c>
      <c r="BG59" s="27" t="str">
        <f>"2008"</f>
        <v>2008</v>
      </c>
      <c r="BH59" s="27" t="str">
        <f>"33,00"</f>
        <v>33,00</v>
      </c>
      <c r="BI59" s="27" t="str">
        <f>"2029-2031"</f>
        <v>2029-2031</v>
      </c>
      <c r="BJ59" s="27" t="str">
        <f t="shared" si="53"/>
        <v>нет</v>
      </c>
      <c r="BK59" s="27" t="str">
        <f t="shared" si="59"/>
        <v>x</v>
      </c>
      <c r="BL59" s="27" t="str">
        <f>"60,00"</f>
        <v>60,00</v>
      </c>
      <c r="BM59" s="27" t="str">
        <f>"2026-2028"</f>
        <v>2026-2028</v>
      </c>
      <c r="BN59" s="27" t="str">
        <f>""</f>
        <v/>
      </c>
      <c r="BO59" s="27" t="str">
        <f t="shared" si="60"/>
        <v>60,00</v>
      </c>
      <c r="BP59" s="27" t="str">
        <f>"2035-2037"</f>
        <v>2035-2037</v>
      </c>
      <c r="BQ59" s="27" t="str">
        <f>""</f>
        <v/>
      </c>
      <c r="BR59" s="27" t="str">
        <f>"60,00"</f>
        <v>60,00</v>
      </c>
      <c r="BS59" s="27" t="str">
        <f>"2026-2028"</f>
        <v>2026-2028</v>
      </c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  <c r="CP59" s="11"/>
      <c r="CQ59" s="11"/>
      <c r="CR59" s="11"/>
      <c r="CS59" s="11"/>
      <c r="CT59" s="11"/>
      <c r="CU59" s="11"/>
      <c r="CV59" s="11"/>
      <c r="CW59" s="11"/>
      <c r="CX59" s="11"/>
      <c r="CY59" s="11"/>
      <c r="CZ59" s="11"/>
      <c r="DA59" s="11"/>
      <c r="DB59" s="11"/>
      <c r="DC59" s="11"/>
      <c r="DD59" s="11"/>
      <c r="DE59" s="11"/>
      <c r="DF59" s="11"/>
      <c r="DG59" s="11"/>
      <c r="DH59" s="11"/>
      <c r="DI59" s="11"/>
      <c r="DJ59" s="11"/>
      <c r="DK59" s="11"/>
      <c r="DL59" s="11"/>
      <c r="DM59" s="11"/>
      <c r="DN59" s="11"/>
      <c r="DO59" s="11"/>
    </row>
    <row r="60" spans="1:119" s="9" customFormat="1" ht="11.25" customHeight="1">
      <c r="A60" s="24" t="str">
        <f>"1.47"</f>
        <v>1.47</v>
      </c>
      <c r="B60" s="25" t="str">
        <f>"г. Кириллов, ул. Ленина, д.127А"</f>
        <v>г. Кириллов, ул. Ленина, д.127А</v>
      </c>
      <c r="C60" s="26" t="str">
        <f>"1981"</f>
        <v>1981</v>
      </c>
      <c r="D60" s="27" t="str">
        <f>""</f>
        <v/>
      </c>
      <c r="E60" s="27" t="str">
        <f>"90,00"</f>
        <v>90,00</v>
      </c>
      <c r="F60" s="27" t="str">
        <f>"2027-2029"</f>
        <v>2027-2029</v>
      </c>
      <c r="G60" s="27" t="str">
        <f t="shared" si="55"/>
        <v>да</v>
      </c>
      <c r="H60" s="27" t="str">
        <f>"2010"</f>
        <v>2010</v>
      </c>
      <c r="I60" s="27" t="str">
        <f>"19,00"</f>
        <v>19,00</v>
      </c>
      <c r="J60" s="27" t="str">
        <f>"2026-2028"</f>
        <v>2026-2028</v>
      </c>
      <c r="K60" s="27" t="str">
        <f t="shared" si="41"/>
        <v>нет</v>
      </c>
      <c r="L60" s="27" t="str">
        <f>""</f>
        <v/>
      </c>
      <c r="M60" s="27" t="str">
        <f>""</f>
        <v/>
      </c>
      <c r="N60" s="27" t="str">
        <f>""</f>
        <v/>
      </c>
      <c r="O60" s="28" t="str">
        <f>""</f>
        <v/>
      </c>
      <c r="P60" s="27" t="str">
        <f>"80,00"</f>
        <v>80,00</v>
      </c>
      <c r="Q60" s="27" t="str">
        <f>"2020-2022"</f>
        <v>2020-2022</v>
      </c>
      <c r="R60" s="27" t="str">
        <f>"да"</f>
        <v>да</v>
      </c>
      <c r="S60" s="27" t="str">
        <f>"2011"</f>
        <v>2011</v>
      </c>
      <c r="T60" s="27" t="str">
        <f>"12,00"</f>
        <v>12,00</v>
      </c>
      <c r="U60" s="27" t="str">
        <f>"2027-2029"</f>
        <v>2027-2029</v>
      </c>
      <c r="V60" s="27" t="str">
        <f t="shared" si="42"/>
        <v>нет</v>
      </c>
      <c r="W60" s="27" t="str">
        <f>""</f>
        <v/>
      </c>
      <c r="X60" s="27" t="str">
        <f>""</f>
        <v/>
      </c>
      <c r="Y60" s="29" t="str">
        <f>""</f>
        <v/>
      </c>
      <c r="Z60" s="27" t="str">
        <f t="shared" si="34"/>
        <v>х</v>
      </c>
      <c r="AA60" s="27" t="str">
        <f>"53,00"</f>
        <v>53,00</v>
      </c>
      <c r="AB60" s="27" t="str">
        <f>"2027-2029"</f>
        <v>2027-2029</v>
      </c>
      <c r="AC60" s="27" t="str">
        <f t="shared" si="43"/>
        <v>нет</v>
      </c>
      <c r="AD60" s="27" t="str">
        <f t="shared" si="56"/>
        <v>х</v>
      </c>
      <c r="AE60" s="27" t="str">
        <f t="shared" si="56"/>
        <v>х</v>
      </c>
      <c r="AF60" s="27" t="str">
        <f t="shared" si="56"/>
        <v>х</v>
      </c>
      <c r="AG60" s="27" t="str">
        <f t="shared" si="5"/>
        <v>нет</v>
      </c>
      <c r="AH60" s="27" t="str">
        <f t="shared" si="57"/>
        <v>х</v>
      </c>
      <c r="AI60" s="27" t="str">
        <f t="shared" si="57"/>
        <v>х</v>
      </c>
      <c r="AJ60" s="27" t="str">
        <f t="shared" si="57"/>
        <v>х</v>
      </c>
      <c r="AK60" s="28" t="str">
        <f>""</f>
        <v/>
      </c>
      <c r="AL60" s="27" t="str">
        <f>"95,00"</f>
        <v>95,00</v>
      </c>
      <c r="AM60" s="27" t="str">
        <f>"2025-2027"</f>
        <v>2025-2027</v>
      </c>
      <c r="AN60" s="30" t="str">
        <f>"да"</f>
        <v>да</v>
      </c>
      <c r="AO60" s="27" t="str">
        <f>"2009"</f>
        <v>2009</v>
      </c>
      <c r="AP60" s="27" t="str">
        <f>"67,00"</f>
        <v>67,00</v>
      </c>
      <c r="AQ60" s="27" t="str">
        <f>"2015-2017"</f>
        <v>2015-2017</v>
      </c>
      <c r="AR60" s="27" t="str">
        <f t="shared" si="46"/>
        <v>нет</v>
      </c>
      <c r="AS60" s="27" t="str">
        <f>""</f>
        <v/>
      </c>
      <c r="AT60" s="27" t="str">
        <f>""</f>
        <v/>
      </c>
      <c r="AU60" s="27" t="str">
        <f>""</f>
        <v/>
      </c>
      <c r="AV60" s="27" t="str">
        <f>""</f>
        <v/>
      </c>
      <c r="AW60" s="27" t="str">
        <f>"64,00"</f>
        <v>64,00</v>
      </c>
      <c r="AX60" s="27" t="str">
        <f>"2018-2020"</f>
        <v>2018-2020</v>
      </c>
      <c r="AY60" s="27" t="str">
        <f t="shared" si="49"/>
        <v>нет</v>
      </c>
      <c r="AZ60" s="27" t="str">
        <f>""</f>
        <v/>
      </c>
      <c r="BA60" s="27" t="str">
        <f>""</f>
        <v/>
      </c>
      <c r="BB60" s="27" t="str">
        <f>""</f>
        <v/>
      </c>
      <c r="BC60" s="27" t="str">
        <f t="shared" si="51"/>
        <v>нет</v>
      </c>
      <c r="BD60" s="27" t="str">
        <f>""</f>
        <v/>
      </c>
      <c r="BE60" s="27" t="str">
        <f>""</f>
        <v/>
      </c>
      <c r="BF60" s="27" t="str">
        <f>""</f>
        <v/>
      </c>
      <c r="BG60" s="27" t="str">
        <f>""</f>
        <v/>
      </c>
      <c r="BH60" s="27" t="str">
        <f>"64,00"</f>
        <v>64,00</v>
      </c>
      <c r="BI60" s="27" t="str">
        <f>"2039-2041"</f>
        <v>2039-2041</v>
      </c>
      <c r="BJ60" s="27" t="str">
        <f t="shared" si="53"/>
        <v>нет</v>
      </c>
      <c r="BK60" s="27" t="str">
        <f t="shared" si="59"/>
        <v>x</v>
      </c>
      <c r="BL60" s="27" t="str">
        <f>"60,00"</f>
        <v>60,00</v>
      </c>
      <c r="BM60" s="27" t="str">
        <f>"2026-2028"</f>
        <v>2026-2028</v>
      </c>
      <c r="BN60" s="27" t="str">
        <f>""</f>
        <v/>
      </c>
      <c r="BO60" s="27" t="str">
        <f t="shared" si="60"/>
        <v>60,00</v>
      </c>
      <c r="BP60" s="27" t="str">
        <f>"2033-2035"</f>
        <v>2033-2035</v>
      </c>
      <c r="BQ60" s="27" t="str">
        <f>""</f>
        <v/>
      </c>
      <c r="BR60" s="27" t="str">
        <f>"60,00"</f>
        <v>60,00</v>
      </c>
      <c r="BS60" s="27" t="str">
        <f>"2026-2028"</f>
        <v>2026-2028</v>
      </c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  <c r="DB60" s="11"/>
      <c r="DC60" s="11"/>
      <c r="DD60" s="11"/>
      <c r="DE60" s="11"/>
      <c r="DF60" s="11"/>
      <c r="DG60" s="11"/>
      <c r="DH60" s="11"/>
      <c r="DI60" s="11"/>
      <c r="DJ60" s="11"/>
      <c r="DK60" s="11"/>
      <c r="DL60" s="11"/>
      <c r="DM60" s="11"/>
      <c r="DN60" s="11"/>
      <c r="DO60" s="11"/>
    </row>
    <row r="61" spans="1:119" s="9" customFormat="1" ht="11.25" customHeight="1">
      <c r="A61" s="24" t="str">
        <f>"1.48"</f>
        <v>1.48</v>
      </c>
      <c r="B61" s="25" t="str">
        <f>"г. Кириллов, ул. Ленина, д.129"</f>
        <v>г. Кириллов, ул. Ленина, д.129</v>
      </c>
      <c r="C61" s="26" t="str">
        <f>"1977"</f>
        <v>1977</v>
      </c>
      <c r="D61" s="27" t="str">
        <f>""</f>
        <v/>
      </c>
      <c r="E61" s="27" t="str">
        <f>"90,00"</f>
        <v>90,00</v>
      </c>
      <c r="F61" s="27" t="str">
        <f>"2023-2025"</f>
        <v>2023-2025</v>
      </c>
      <c r="G61" s="27" t="str">
        <f t="shared" si="55"/>
        <v>да</v>
      </c>
      <c r="H61" s="27" t="str">
        <f>"2011"</f>
        <v>2011</v>
      </c>
      <c r="I61" s="27" t="str">
        <f>"13,00"</f>
        <v>13,00</v>
      </c>
      <c r="J61" s="27" t="str">
        <f>"2027-2029"</f>
        <v>2027-2029</v>
      </c>
      <c r="K61" s="27" t="str">
        <f t="shared" si="41"/>
        <v>нет</v>
      </c>
      <c r="L61" s="27" t="str">
        <f>""</f>
        <v/>
      </c>
      <c r="M61" s="27" t="str">
        <f>""</f>
        <v/>
      </c>
      <c r="N61" s="27" t="str">
        <f>""</f>
        <v/>
      </c>
      <c r="O61" s="28" t="str">
        <f>""</f>
        <v/>
      </c>
      <c r="P61" s="27" t="str">
        <f>"90,00"</f>
        <v>90,00</v>
      </c>
      <c r="Q61" s="27" t="str">
        <f>"2023-2025"</f>
        <v>2023-2025</v>
      </c>
      <c r="R61" s="27" t="str">
        <f>"да"</f>
        <v>да</v>
      </c>
      <c r="S61" s="27" t="str">
        <f>"2010"</f>
        <v>2010</v>
      </c>
      <c r="T61" s="27" t="str">
        <f>"18,00"</f>
        <v>18,00</v>
      </c>
      <c r="U61" s="27" t="str">
        <f>"2026-2028"</f>
        <v>2026-2028</v>
      </c>
      <c r="V61" s="27" t="str">
        <f t="shared" si="42"/>
        <v>нет</v>
      </c>
      <c r="W61" s="27" t="str">
        <f>""</f>
        <v/>
      </c>
      <c r="X61" s="27" t="str">
        <f>""</f>
        <v/>
      </c>
      <c r="Y61" s="29" t="str">
        <f>""</f>
        <v/>
      </c>
      <c r="Z61" s="27" t="str">
        <f t="shared" si="34"/>
        <v>х</v>
      </c>
      <c r="AA61" s="27" t="str">
        <f>"71,00"</f>
        <v>71,00</v>
      </c>
      <c r="AB61" s="27" t="str">
        <f>"2021-2023"</f>
        <v>2021-2023</v>
      </c>
      <c r="AC61" s="27" t="str">
        <f t="shared" si="43"/>
        <v>нет</v>
      </c>
      <c r="AD61" s="27" t="str">
        <f t="shared" si="56"/>
        <v>х</v>
      </c>
      <c r="AE61" s="27" t="str">
        <f t="shared" si="56"/>
        <v>х</v>
      </c>
      <c r="AF61" s="27" t="str">
        <f t="shared" si="56"/>
        <v>х</v>
      </c>
      <c r="AG61" s="27" t="str">
        <f t="shared" si="5"/>
        <v>нет</v>
      </c>
      <c r="AH61" s="27" t="str">
        <f t="shared" si="57"/>
        <v>х</v>
      </c>
      <c r="AI61" s="27" t="str">
        <f t="shared" si="57"/>
        <v>х</v>
      </c>
      <c r="AJ61" s="27" t="str">
        <f t="shared" si="57"/>
        <v>х</v>
      </c>
      <c r="AK61" s="28" t="str">
        <f>""</f>
        <v/>
      </c>
      <c r="AL61" s="27" t="str">
        <f>"90,00"</f>
        <v>90,00</v>
      </c>
      <c r="AM61" s="27" t="str">
        <f>"2018-2020"</f>
        <v>2018-2020</v>
      </c>
      <c r="AN61" s="30" t="str">
        <f>"нет"</f>
        <v>нет</v>
      </c>
      <c r="AO61" s="27" t="str">
        <f>""</f>
        <v/>
      </c>
      <c r="AP61" s="27" t="str">
        <f>""</f>
        <v/>
      </c>
      <c r="AQ61" s="27" t="str">
        <f>""</f>
        <v/>
      </c>
      <c r="AR61" s="27" t="str">
        <f t="shared" si="46"/>
        <v>нет</v>
      </c>
      <c r="AS61" s="27" t="str">
        <f>""</f>
        <v/>
      </c>
      <c r="AT61" s="27" t="str">
        <f>""</f>
        <v/>
      </c>
      <c r="AU61" s="27" t="str">
        <f>""</f>
        <v/>
      </c>
      <c r="AV61" s="27" t="str">
        <f>""</f>
        <v/>
      </c>
      <c r="AW61" s="27" t="str">
        <f>"72,00"</f>
        <v>72,00</v>
      </c>
      <c r="AX61" s="27" t="str">
        <f>"2020-2022"</f>
        <v>2020-2022</v>
      </c>
      <c r="AY61" s="27" t="str">
        <f t="shared" si="49"/>
        <v>нет</v>
      </c>
      <c r="AZ61" s="27" t="str">
        <f>""</f>
        <v/>
      </c>
      <c r="BA61" s="27" t="str">
        <f>""</f>
        <v/>
      </c>
      <c r="BB61" s="27" t="str">
        <f>""</f>
        <v/>
      </c>
      <c r="BC61" s="27" t="str">
        <f t="shared" si="51"/>
        <v>нет</v>
      </c>
      <c r="BD61" s="27" t="str">
        <f>""</f>
        <v/>
      </c>
      <c r="BE61" s="27" t="str">
        <f>""</f>
        <v/>
      </c>
      <c r="BF61" s="27" t="str">
        <f>""</f>
        <v/>
      </c>
      <c r="BG61" s="27" t="str">
        <f>""</f>
        <v/>
      </c>
      <c r="BH61" s="27" t="str">
        <f>"90,00"</f>
        <v>90,00</v>
      </c>
      <c r="BI61" s="27" t="str">
        <f>"2025-2027"</f>
        <v>2025-2027</v>
      </c>
      <c r="BJ61" s="27" t="str">
        <f t="shared" si="53"/>
        <v>нет</v>
      </c>
      <c r="BK61" s="27" t="str">
        <f t="shared" si="59"/>
        <v>x</v>
      </c>
      <c r="BL61" s="27" t="str">
        <f>"60,00"</f>
        <v>60,00</v>
      </c>
      <c r="BM61" s="27" t="str">
        <f>"2030-2032"</f>
        <v>2030-2032</v>
      </c>
      <c r="BN61" s="27" t="str">
        <f>""</f>
        <v/>
      </c>
      <c r="BO61" s="27" t="str">
        <f t="shared" si="60"/>
        <v>60,00</v>
      </c>
      <c r="BP61" s="27" t="str">
        <f>"2030-2032"</f>
        <v>2030-2032</v>
      </c>
      <c r="BQ61" s="27" t="str">
        <f>""</f>
        <v/>
      </c>
      <c r="BR61" s="27" t="str">
        <f>"60,00"</f>
        <v>60,00</v>
      </c>
      <c r="BS61" s="27" t="str">
        <f>"2030-2032"</f>
        <v>2030-2032</v>
      </c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/>
      <c r="CO61" s="11"/>
      <c r="CP61" s="11"/>
      <c r="CQ61" s="11"/>
      <c r="CR61" s="11"/>
      <c r="CS61" s="11"/>
      <c r="CT61" s="11"/>
      <c r="CU61" s="11"/>
      <c r="CV61" s="11"/>
      <c r="CW61" s="11"/>
      <c r="CX61" s="11"/>
      <c r="CY61" s="11"/>
      <c r="CZ61" s="11"/>
      <c r="DA61" s="11"/>
      <c r="DB61" s="11"/>
      <c r="DC61" s="11"/>
      <c r="DD61" s="11"/>
      <c r="DE61" s="11"/>
      <c r="DF61" s="11"/>
      <c r="DG61" s="11"/>
      <c r="DH61" s="11"/>
      <c r="DI61" s="11"/>
      <c r="DJ61" s="11"/>
      <c r="DK61" s="11"/>
      <c r="DL61" s="11"/>
      <c r="DM61" s="11"/>
      <c r="DN61" s="11"/>
      <c r="DO61" s="11"/>
    </row>
    <row r="62" spans="1:119" s="10" customFormat="1" ht="11.25" customHeight="1">
      <c r="A62" s="24" t="str">
        <f>"1.49"</f>
        <v>1.49</v>
      </c>
      <c r="B62" s="25" t="str">
        <f>"г. Кириллов, ул. Ленина, д.131"</f>
        <v>г. Кириллов, ул. Ленина, д.131</v>
      </c>
      <c r="C62" s="26" t="str">
        <f>"1977"</f>
        <v>1977</v>
      </c>
      <c r="D62" s="27" t="str">
        <f>""</f>
        <v/>
      </c>
      <c r="E62" s="27" t="str">
        <f>"90,00"</f>
        <v>90,00</v>
      </c>
      <c r="F62" s="27" t="str">
        <f>"2023-2025"</f>
        <v>2023-2025</v>
      </c>
      <c r="G62" s="27" t="str">
        <f t="shared" si="55"/>
        <v>да</v>
      </c>
      <c r="H62" s="27" t="str">
        <f>"2011"</f>
        <v>2011</v>
      </c>
      <c r="I62" s="27" t="str">
        <f>"13,00"</f>
        <v>13,00</v>
      </c>
      <c r="J62" s="27" t="str">
        <f>"2027-2029"</f>
        <v>2027-2029</v>
      </c>
      <c r="K62" s="27" t="str">
        <f t="shared" si="41"/>
        <v>нет</v>
      </c>
      <c r="L62" s="27" t="str">
        <f>""</f>
        <v/>
      </c>
      <c r="M62" s="27" t="str">
        <f>""</f>
        <v/>
      </c>
      <c r="N62" s="27" t="str">
        <f>""</f>
        <v/>
      </c>
      <c r="O62" s="28" t="str">
        <f>""</f>
        <v/>
      </c>
      <c r="P62" s="27" t="str">
        <f>"90,00"</f>
        <v>90,00</v>
      </c>
      <c r="Q62" s="27" t="str">
        <f>"2028-2030"</f>
        <v>2028-2030</v>
      </c>
      <c r="R62" s="27" t="str">
        <f>"да"</f>
        <v>да</v>
      </c>
      <c r="S62" s="27" t="str">
        <f>"2010"</f>
        <v>2010</v>
      </c>
      <c r="T62" s="27" t="str">
        <f>"18,00"</f>
        <v>18,00</v>
      </c>
      <c r="U62" s="27" t="str">
        <f>"2026-2028"</f>
        <v>2026-2028</v>
      </c>
      <c r="V62" s="27" t="str">
        <f t="shared" si="42"/>
        <v>нет</v>
      </c>
      <c r="W62" s="27" t="str">
        <f>""</f>
        <v/>
      </c>
      <c r="X62" s="27" t="str">
        <f>""</f>
        <v/>
      </c>
      <c r="Y62" s="29" t="str">
        <f>""</f>
        <v/>
      </c>
      <c r="Z62" s="27" t="str">
        <f t="shared" si="34"/>
        <v>х</v>
      </c>
      <c r="AA62" s="27" t="str">
        <f>"71,00"</f>
        <v>71,00</v>
      </c>
      <c r="AB62" s="27" t="str">
        <f>"2021-2023"</f>
        <v>2021-2023</v>
      </c>
      <c r="AC62" s="27" t="str">
        <f t="shared" si="43"/>
        <v>нет</v>
      </c>
      <c r="AD62" s="27" t="str">
        <f t="shared" si="56"/>
        <v>х</v>
      </c>
      <c r="AE62" s="27" t="str">
        <f t="shared" si="56"/>
        <v>х</v>
      </c>
      <c r="AF62" s="27" t="str">
        <f t="shared" si="56"/>
        <v>х</v>
      </c>
      <c r="AG62" s="27" t="str">
        <f>"х"</f>
        <v>х</v>
      </c>
      <c r="AH62" s="27" t="str">
        <f t="shared" si="57"/>
        <v>х</v>
      </c>
      <c r="AI62" s="27" t="str">
        <f t="shared" si="57"/>
        <v>х</v>
      </c>
      <c r="AJ62" s="27" t="str">
        <f t="shared" si="57"/>
        <v>х</v>
      </c>
      <c r="AK62" s="28" t="str">
        <f>""</f>
        <v/>
      </c>
      <c r="AL62" s="27" t="str">
        <f>"90,00"</f>
        <v>90,00</v>
      </c>
      <c r="AM62" s="27" t="str">
        <f>"2020-2022"</f>
        <v>2020-2022</v>
      </c>
      <c r="AN62" s="30" t="str">
        <f>"нет"</f>
        <v>нет</v>
      </c>
      <c r="AO62" s="27" t="str">
        <f>""</f>
        <v/>
      </c>
      <c r="AP62" s="27" t="str">
        <f>""</f>
        <v/>
      </c>
      <c r="AQ62" s="27" t="str">
        <f>""</f>
        <v/>
      </c>
      <c r="AR62" s="27" t="str">
        <f t="shared" si="46"/>
        <v>нет</v>
      </c>
      <c r="AS62" s="27" t="str">
        <f>""</f>
        <v/>
      </c>
      <c r="AT62" s="27" t="str">
        <f>""</f>
        <v/>
      </c>
      <c r="AU62" s="27" t="str">
        <f>""</f>
        <v/>
      </c>
      <c r="AV62" s="27" t="str">
        <f>""</f>
        <v/>
      </c>
      <c r="AW62" s="27" t="str">
        <f>"90,00"</f>
        <v>90,00</v>
      </c>
      <c r="AX62" s="27" t="str">
        <f>"2022-2024"</f>
        <v>2022-2024</v>
      </c>
      <c r="AY62" s="27" t="str">
        <f t="shared" si="49"/>
        <v>нет</v>
      </c>
      <c r="AZ62" s="27" t="str">
        <f>""</f>
        <v/>
      </c>
      <c r="BA62" s="27" t="str">
        <f>""</f>
        <v/>
      </c>
      <c r="BB62" s="27" t="str">
        <f>""</f>
        <v/>
      </c>
      <c r="BC62" s="27" t="str">
        <f t="shared" si="51"/>
        <v>нет</v>
      </c>
      <c r="BD62" s="27" t="str">
        <f>""</f>
        <v/>
      </c>
      <c r="BE62" s="27" t="str">
        <f>""</f>
        <v/>
      </c>
      <c r="BF62" s="27" t="str">
        <f>""</f>
        <v/>
      </c>
      <c r="BG62" s="27" t="str">
        <f>""</f>
        <v/>
      </c>
      <c r="BH62" s="27" t="str">
        <f>"90,00"</f>
        <v>90,00</v>
      </c>
      <c r="BI62" s="27" t="str">
        <f>"2039-2041"</f>
        <v>2039-2041</v>
      </c>
      <c r="BJ62" s="27" t="str">
        <f t="shared" si="53"/>
        <v>нет</v>
      </c>
      <c r="BK62" s="27" t="str">
        <f t="shared" si="59"/>
        <v>x</v>
      </c>
      <c r="BL62" s="27" t="str">
        <f>"60,00"</f>
        <v>60,00</v>
      </c>
      <c r="BM62" s="27" t="str">
        <f>"2039-2041"</f>
        <v>2039-2041</v>
      </c>
      <c r="BN62" s="27" t="str">
        <f>""</f>
        <v/>
      </c>
      <c r="BO62" s="27" t="str">
        <f t="shared" si="60"/>
        <v>60,00</v>
      </c>
      <c r="BP62" s="27" t="str">
        <f>"2035-2037"</f>
        <v>2035-2037</v>
      </c>
      <c r="BQ62" s="27" t="str">
        <f>""</f>
        <v/>
      </c>
      <c r="BR62" s="27" t="str">
        <f>"60,00"</f>
        <v>60,00</v>
      </c>
      <c r="BS62" s="27" t="str">
        <f>"2039-2041"</f>
        <v>2039-2041</v>
      </c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  <c r="CT62" s="11"/>
      <c r="CU62" s="11"/>
      <c r="CV62" s="11"/>
      <c r="CW62" s="11"/>
      <c r="CX62" s="11"/>
      <c r="CY62" s="11"/>
      <c r="CZ62" s="11"/>
      <c r="DA62" s="11"/>
      <c r="DB62" s="11"/>
      <c r="DC62" s="11"/>
      <c r="DD62" s="11"/>
      <c r="DE62" s="11"/>
      <c r="DF62" s="11"/>
      <c r="DG62" s="11"/>
      <c r="DH62" s="11"/>
      <c r="DI62" s="11"/>
      <c r="DJ62" s="11"/>
      <c r="DK62" s="11"/>
      <c r="DL62" s="11"/>
      <c r="DM62" s="11"/>
      <c r="DN62" s="11"/>
      <c r="DO62" s="11"/>
    </row>
    <row r="63" spans="1:119" s="9" customFormat="1" ht="11.25" customHeight="1">
      <c r="A63" s="24" t="str">
        <f>"1.50"</f>
        <v>1.50</v>
      </c>
      <c r="B63" s="25" t="str">
        <f>"г. Кириллов, ул. Ленина, д.132"</f>
        <v>г. Кириллов, ул. Ленина, д.132</v>
      </c>
      <c r="C63" s="26" t="str">
        <f>"1987"</f>
        <v>1987</v>
      </c>
      <c r="D63" s="27" t="str">
        <f>""</f>
        <v/>
      </c>
      <c r="E63" s="27" t="str">
        <f>"86,00"</f>
        <v>86,00</v>
      </c>
      <c r="F63" s="27" t="str">
        <f>"2018-2020"</f>
        <v>2018-2020</v>
      </c>
      <c r="G63" s="27" t="str">
        <f t="shared" si="55"/>
        <v>да</v>
      </c>
      <c r="H63" s="27" t="str">
        <f>"2010"</f>
        <v>2010</v>
      </c>
      <c r="I63" s="27" t="str">
        <f>"19,00"</f>
        <v>19,00</v>
      </c>
      <c r="J63" s="27" t="str">
        <f>"2026-2028"</f>
        <v>2026-2028</v>
      </c>
      <c r="K63" s="27" t="str">
        <f t="shared" si="41"/>
        <v>нет</v>
      </c>
      <c r="L63" s="27" t="str">
        <f>""</f>
        <v/>
      </c>
      <c r="M63" s="27" t="str">
        <f>""</f>
        <v/>
      </c>
      <c r="N63" s="27" t="str">
        <f>""</f>
        <v/>
      </c>
      <c r="O63" s="28" t="str">
        <f>""</f>
        <v/>
      </c>
      <c r="P63" s="27" t="str">
        <f>"65,00"</f>
        <v>65,00</v>
      </c>
      <c r="Q63" s="27" t="str">
        <f>"2026-2028"</f>
        <v>2026-2028</v>
      </c>
      <c r="R63" s="27" t="str">
        <f>"да"</f>
        <v>да</v>
      </c>
      <c r="S63" s="27" t="str">
        <f>"2010"</f>
        <v>2010</v>
      </c>
      <c r="T63" s="27" t="str">
        <f>"18,00"</f>
        <v>18,00</v>
      </c>
      <c r="U63" s="27" t="str">
        <f>"2026-2028"</f>
        <v>2026-2028</v>
      </c>
      <c r="V63" s="27" t="str">
        <f t="shared" si="42"/>
        <v>нет</v>
      </c>
      <c r="W63" s="27" t="str">
        <f>""</f>
        <v/>
      </c>
      <c r="X63" s="27" t="str">
        <f>""</f>
        <v/>
      </c>
      <c r="Y63" s="29" t="str">
        <f>""</f>
        <v/>
      </c>
      <c r="Z63" s="27" t="str">
        <f t="shared" si="34"/>
        <v>х</v>
      </c>
      <c r="AA63" s="27" t="str">
        <f>"х"</f>
        <v>х</v>
      </c>
      <c r="AB63" s="27" t="str">
        <f>"х"</f>
        <v>х</v>
      </c>
      <c r="AC63" s="27" t="str">
        <f t="shared" si="43"/>
        <v>нет</v>
      </c>
      <c r="AD63" s="27" t="str">
        <f t="shared" si="56"/>
        <v>х</v>
      </c>
      <c r="AE63" s="27" t="str">
        <f t="shared" si="56"/>
        <v>х</v>
      </c>
      <c r="AF63" s="27" t="str">
        <f t="shared" si="56"/>
        <v>х</v>
      </c>
      <c r="AG63" s="27" t="str">
        <f>"нет"</f>
        <v>нет</v>
      </c>
      <c r="AH63" s="27" t="str">
        <f t="shared" si="57"/>
        <v>х</v>
      </c>
      <c r="AI63" s="27" t="str">
        <f t="shared" si="57"/>
        <v>х</v>
      </c>
      <c r="AJ63" s="27" t="str">
        <f t="shared" si="57"/>
        <v>х</v>
      </c>
      <c r="AK63" s="28" t="str">
        <f>""</f>
        <v/>
      </c>
      <c r="AL63" s="27" t="str">
        <f>"80,00"</f>
        <v>80,00</v>
      </c>
      <c r="AM63" s="27" t="str">
        <f>"2024-2026"</f>
        <v>2024-2026</v>
      </c>
      <c r="AN63" s="30">
        <v>2015</v>
      </c>
      <c r="AO63" s="27" t="str">
        <f>""</f>
        <v/>
      </c>
      <c r="AP63" s="27" t="str">
        <f>""</f>
        <v/>
      </c>
      <c r="AQ63" s="27">
        <v>2030</v>
      </c>
      <c r="AR63" s="27" t="str">
        <f t="shared" si="46"/>
        <v>нет</v>
      </c>
      <c r="AS63" s="27" t="str">
        <f>""</f>
        <v/>
      </c>
      <c r="AT63" s="27" t="str">
        <f>""</f>
        <v/>
      </c>
      <c r="AU63" s="27" t="str">
        <f>""</f>
        <v/>
      </c>
      <c r="AV63" s="27" t="str">
        <f>""</f>
        <v/>
      </c>
      <c r="AW63" s="27" t="str">
        <f>"52,00"</f>
        <v>52,00</v>
      </c>
      <c r="AX63" s="27" t="str">
        <f>"2025-2027"</f>
        <v>2025-2027</v>
      </c>
      <c r="AY63" s="27" t="str">
        <f t="shared" si="49"/>
        <v>нет</v>
      </c>
      <c r="AZ63" s="27" t="str">
        <f>""</f>
        <v/>
      </c>
      <c r="BA63" s="27" t="str">
        <f>""</f>
        <v/>
      </c>
      <c r="BB63" s="27" t="str">
        <f>""</f>
        <v/>
      </c>
      <c r="BC63" s="27" t="str">
        <f t="shared" si="51"/>
        <v>нет</v>
      </c>
      <c r="BD63" s="27" t="str">
        <f>""</f>
        <v/>
      </c>
      <c r="BE63" s="27" t="str">
        <f>""</f>
        <v/>
      </c>
      <c r="BF63" s="27" t="str">
        <f>""</f>
        <v/>
      </c>
      <c r="BG63" s="27" t="str">
        <f>""</f>
        <v/>
      </c>
      <c r="BH63" s="27" t="str">
        <f>"65,00"</f>
        <v>65,00</v>
      </c>
      <c r="BI63" s="27" t="str">
        <f>"2039-2041"</f>
        <v>2039-2041</v>
      </c>
      <c r="BJ63" s="27" t="str">
        <f t="shared" si="53"/>
        <v>нет</v>
      </c>
      <c r="BK63" s="27" t="str">
        <f t="shared" si="59"/>
        <v>x</v>
      </c>
      <c r="BL63" s="27" t="str">
        <f>"52,00"</f>
        <v>52,00</v>
      </c>
      <c r="BM63" s="27" t="str">
        <f>"2030-2032"</f>
        <v>2030-2032</v>
      </c>
      <c r="BN63" s="27" t="str">
        <f>""</f>
        <v/>
      </c>
      <c r="BO63" s="27" t="str">
        <f t="shared" si="60"/>
        <v>60,00</v>
      </c>
      <c r="BP63" s="27" t="str">
        <f>"2022-2024"</f>
        <v>2022-2024</v>
      </c>
      <c r="BQ63" s="27" t="str">
        <f>""</f>
        <v/>
      </c>
      <c r="BR63" s="27" t="str">
        <f>"52,00"</f>
        <v>52,00</v>
      </c>
      <c r="BS63" s="27" t="str">
        <f>"2030-2032"</f>
        <v>2030-2032</v>
      </c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  <c r="CT63" s="11"/>
      <c r="CU63" s="11"/>
      <c r="CV63" s="11"/>
      <c r="CW63" s="11"/>
      <c r="CX63" s="11"/>
      <c r="CY63" s="11"/>
      <c r="CZ63" s="11"/>
      <c r="DA63" s="11"/>
      <c r="DB63" s="11"/>
      <c r="DC63" s="11"/>
      <c r="DD63" s="11"/>
      <c r="DE63" s="11"/>
      <c r="DF63" s="11"/>
      <c r="DG63" s="11"/>
      <c r="DH63" s="11"/>
      <c r="DI63" s="11"/>
      <c r="DJ63" s="11"/>
      <c r="DK63" s="11"/>
      <c r="DL63" s="11"/>
      <c r="DM63" s="11"/>
      <c r="DN63" s="11"/>
      <c r="DO63" s="11"/>
    </row>
    <row r="64" spans="1:119" s="9" customFormat="1" ht="11.25" customHeight="1">
      <c r="A64" s="24" t="str">
        <f>"1.51"</f>
        <v>1.51</v>
      </c>
      <c r="B64" s="25" t="str">
        <f>"г. Кириллов, ул. Ленина, д.136"</f>
        <v>г. Кириллов, ул. Ленина, д.136</v>
      </c>
      <c r="C64" s="26" t="str">
        <f>"1991"</f>
        <v>1991</v>
      </c>
      <c r="D64" s="27" t="str">
        <f>""</f>
        <v/>
      </c>
      <c r="E64" s="27" t="str">
        <f>"50,00"</f>
        <v>50,00</v>
      </c>
      <c r="F64" s="27" t="str">
        <f>"2040-2042"</f>
        <v>2040-2042</v>
      </c>
      <c r="G64" s="27" t="str">
        <f t="shared" si="55"/>
        <v>да</v>
      </c>
      <c r="H64" s="27" t="str">
        <f>"2007"</f>
        <v>2007</v>
      </c>
      <c r="I64" s="27" t="str">
        <f>"38,00"</f>
        <v>38,00</v>
      </c>
      <c r="J64" s="27" t="str">
        <f>"2023-2025"</f>
        <v>2023-2025</v>
      </c>
      <c r="K64" s="27" t="str">
        <f t="shared" si="41"/>
        <v>нет</v>
      </c>
      <c r="L64" s="27" t="str">
        <f>""</f>
        <v/>
      </c>
      <c r="M64" s="27" t="str">
        <f>""</f>
        <v/>
      </c>
      <c r="N64" s="27" t="str">
        <f>""</f>
        <v/>
      </c>
      <c r="O64" s="28" t="str">
        <f>""</f>
        <v/>
      </c>
      <c r="P64" s="27" t="str">
        <f>"88,00"</f>
        <v>88,00</v>
      </c>
      <c r="Q64" s="27" t="str">
        <f>"2027-2029"</f>
        <v>2027-2029</v>
      </c>
      <c r="R64" s="27" t="str">
        <f>"да"</f>
        <v>да</v>
      </c>
      <c r="S64" s="27" t="str">
        <f>"2012"</f>
        <v>2012</v>
      </c>
      <c r="T64" s="27" t="str">
        <f>"6,00"</f>
        <v>6,00</v>
      </c>
      <c r="U64" s="27" t="str">
        <f>"2028-2030"</f>
        <v>2028-2030</v>
      </c>
      <c r="V64" s="27" t="str">
        <f t="shared" si="42"/>
        <v>нет</v>
      </c>
      <c r="W64" s="27" t="str">
        <f>""</f>
        <v/>
      </c>
      <c r="X64" s="27" t="str">
        <f>""</f>
        <v/>
      </c>
      <c r="Y64" s="29" t="str">
        <f>""</f>
        <v/>
      </c>
      <c r="Z64" s="27" t="str">
        <f t="shared" si="34"/>
        <v>х</v>
      </c>
      <c r="AA64" s="27" t="str">
        <f>"х"</f>
        <v>х</v>
      </c>
      <c r="AB64" s="27" t="str">
        <f>"х"</f>
        <v>х</v>
      </c>
      <c r="AC64" s="27" t="str">
        <f t="shared" si="43"/>
        <v>нет</v>
      </c>
      <c r="AD64" s="27" t="str">
        <f t="shared" si="56"/>
        <v>х</v>
      </c>
      <c r="AE64" s="27" t="str">
        <f t="shared" si="56"/>
        <v>х</v>
      </c>
      <c r="AF64" s="27" t="str">
        <f t="shared" si="56"/>
        <v>х</v>
      </c>
      <c r="AG64" s="27" t="str">
        <f>"нет"</f>
        <v>нет</v>
      </c>
      <c r="AH64" s="27" t="str">
        <f t="shared" si="57"/>
        <v>х</v>
      </c>
      <c r="AI64" s="27" t="str">
        <f t="shared" si="57"/>
        <v>х</v>
      </c>
      <c r="AJ64" s="27" t="str">
        <f t="shared" si="57"/>
        <v>х</v>
      </c>
      <c r="AK64" s="28" t="str">
        <f>""</f>
        <v/>
      </c>
      <c r="AL64" s="27" t="str">
        <f>"70,00"</f>
        <v>70,00</v>
      </c>
      <c r="AM64" s="27" t="str">
        <f>"2026-2028"</f>
        <v>2026-2028</v>
      </c>
      <c r="AN64" s="30" t="str">
        <f>"нет"</f>
        <v>нет</v>
      </c>
      <c r="AO64" s="27" t="str">
        <f>""</f>
        <v/>
      </c>
      <c r="AP64" s="27" t="str">
        <f>""</f>
        <v/>
      </c>
      <c r="AQ64" s="27" t="str">
        <f>""</f>
        <v/>
      </c>
      <c r="AR64" s="27" t="str">
        <f t="shared" si="46"/>
        <v>нет</v>
      </c>
      <c r="AS64" s="27" t="str">
        <f>""</f>
        <v/>
      </c>
      <c r="AT64" s="27" t="str">
        <f>""</f>
        <v/>
      </c>
      <c r="AU64" s="27" t="str">
        <f>""</f>
        <v/>
      </c>
      <c r="AV64" s="27" t="str">
        <f>""</f>
        <v/>
      </c>
      <c r="AW64" s="27" t="str">
        <f>"44,00"</f>
        <v>44,00</v>
      </c>
      <c r="AX64" s="27" t="str">
        <f>"2031-2033"</f>
        <v>2031-2033</v>
      </c>
      <c r="AY64" s="27" t="str">
        <f t="shared" si="49"/>
        <v>нет</v>
      </c>
      <c r="AZ64" s="27" t="str">
        <f>""</f>
        <v/>
      </c>
      <c r="BA64" s="27" t="str">
        <f>""</f>
        <v/>
      </c>
      <c r="BB64" s="27" t="str">
        <f>""</f>
        <v/>
      </c>
      <c r="BC64" s="27" t="str">
        <f t="shared" si="51"/>
        <v>нет</v>
      </c>
      <c r="BD64" s="27" t="str">
        <f>""</f>
        <v/>
      </c>
      <c r="BE64" s="27" t="str">
        <f>""</f>
        <v/>
      </c>
      <c r="BF64" s="27" t="str">
        <f>""</f>
        <v/>
      </c>
      <c r="BG64" s="27" t="str">
        <f>""</f>
        <v/>
      </c>
      <c r="BH64" s="27" t="str">
        <f>"60,00"</f>
        <v>60,00</v>
      </c>
      <c r="BI64" s="27" t="str">
        <f>"2020-2022"</f>
        <v>2020-2022</v>
      </c>
      <c r="BJ64" s="27" t="str">
        <f t="shared" si="53"/>
        <v>нет</v>
      </c>
      <c r="BK64" s="27" t="str">
        <f t="shared" si="59"/>
        <v>x</v>
      </c>
      <c r="BL64" s="27" t="str">
        <f>"40,00"</f>
        <v>40,00</v>
      </c>
      <c r="BM64" s="27" t="str">
        <f>"2032-2034"</f>
        <v>2032-2034</v>
      </c>
      <c r="BN64" s="27" t="str">
        <f>""</f>
        <v/>
      </c>
      <c r="BO64" s="27" t="str">
        <f>"42,00"</f>
        <v>42,00</v>
      </c>
      <c r="BP64" s="27" t="str">
        <f>"2023-2025"</f>
        <v>2023-2025</v>
      </c>
      <c r="BQ64" s="27" t="str">
        <f>""</f>
        <v/>
      </c>
      <c r="BR64" s="27" t="str">
        <f>"40,00"</f>
        <v>40,00</v>
      </c>
      <c r="BS64" s="27" t="str">
        <f>"2032-2034"</f>
        <v>2032-2034</v>
      </c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  <c r="DB64" s="11"/>
      <c r="DC64" s="11"/>
      <c r="DD64" s="11"/>
      <c r="DE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</row>
    <row r="65" spans="1:119" s="9" customFormat="1" ht="11.25" customHeight="1">
      <c r="A65" s="24" t="str">
        <f>"1.52"</f>
        <v>1.52</v>
      </c>
      <c r="B65" s="25" t="str">
        <f>"г. Кириллов, ул. Ленина, д.150"</f>
        <v>г. Кириллов, ул. Ленина, д.150</v>
      </c>
      <c r="C65" s="26" t="str">
        <f>""</f>
        <v/>
      </c>
      <c r="D65" s="27" t="str">
        <f>""</f>
        <v/>
      </c>
      <c r="E65" s="27" t="str">
        <f>""</f>
        <v/>
      </c>
      <c r="F65" s="27" t="str">
        <f>"2034-2036"</f>
        <v>2034-2036</v>
      </c>
      <c r="G65" s="27" t="str">
        <f>""</f>
        <v/>
      </c>
      <c r="H65" s="27" t="str">
        <f>""</f>
        <v/>
      </c>
      <c r="I65" s="27" t="str">
        <f>""</f>
        <v/>
      </c>
      <c r="J65" s="27" t="str">
        <f>"2030-2032"</f>
        <v>2030-2032</v>
      </c>
      <c r="K65" s="27" t="str">
        <f>""</f>
        <v/>
      </c>
      <c r="L65" s="27" t="str">
        <f>""</f>
        <v/>
      </c>
      <c r="M65" s="27" t="str">
        <f>""</f>
        <v/>
      </c>
      <c r="N65" s="27" t="str">
        <f>""</f>
        <v/>
      </c>
      <c r="O65" s="28" t="str">
        <f>""</f>
        <v/>
      </c>
      <c r="P65" s="27" t="str">
        <f>""</f>
        <v/>
      </c>
      <c r="Q65" s="27" t="str">
        <f>""</f>
        <v/>
      </c>
      <c r="R65" s="27" t="str">
        <f>""</f>
        <v/>
      </c>
      <c r="S65" s="27" t="str">
        <f>""</f>
        <v/>
      </c>
      <c r="T65" s="27" t="str">
        <f>""</f>
        <v/>
      </c>
      <c r="U65" s="27" t="str">
        <f>""</f>
        <v/>
      </c>
      <c r="V65" s="27" t="str">
        <f>""</f>
        <v/>
      </c>
      <c r="W65" s="27" t="str">
        <f>""</f>
        <v/>
      </c>
      <c r="X65" s="27" t="str">
        <f>""</f>
        <v/>
      </c>
      <c r="Y65" s="29" t="str">
        <f>""</f>
        <v/>
      </c>
      <c r="Z65" s="27" t="str">
        <f>""</f>
        <v/>
      </c>
      <c r="AA65" s="27" t="str">
        <f>""</f>
        <v/>
      </c>
      <c r="AB65" s="27" t="str">
        <f>""</f>
        <v/>
      </c>
      <c r="AC65" s="27" t="str">
        <f>""</f>
        <v/>
      </c>
      <c r="AD65" s="27" t="str">
        <f>""</f>
        <v/>
      </c>
      <c r="AE65" s="27" t="str">
        <f>""</f>
        <v/>
      </c>
      <c r="AF65" s="27" t="str">
        <f>""</f>
        <v/>
      </c>
      <c r="AG65" s="27" t="str">
        <f>""</f>
        <v/>
      </c>
      <c r="AH65" s="27" t="str">
        <f>""</f>
        <v/>
      </c>
      <c r="AI65" s="27" t="str">
        <f>""</f>
        <v/>
      </c>
      <c r="AJ65" s="27" t="str">
        <f>""</f>
        <v/>
      </c>
      <c r="AK65" s="28" t="str">
        <f>""</f>
        <v/>
      </c>
      <c r="AL65" s="27" t="str">
        <f>""</f>
        <v/>
      </c>
      <c r="AM65" s="27" t="str">
        <f>"2044-2046"</f>
        <v>2044-2046</v>
      </c>
      <c r="AN65" s="30" t="str">
        <f>""</f>
        <v/>
      </c>
      <c r="AO65" s="27" t="str">
        <f>""</f>
        <v/>
      </c>
      <c r="AP65" s="27" t="str">
        <f>""</f>
        <v/>
      </c>
      <c r="AQ65" s="27" t="str">
        <f>"2026-2028"</f>
        <v>2026-2028</v>
      </c>
      <c r="AR65" s="27" t="str">
        <f>""</f>
        <v/>
      </c>
      <c r="AS65" s="27" t="str">
        <f>""</f>
        <v/>
      </c>
      <c r="AT65" s="27" t="str">
        <f>""</f>
        <v/>
      </c>
      <c r="AU65" s="27" t="str">
        <f>""</f>
        <v/>
      </c>
      <c r="AV65" s="27" t="str">
        <f>""</f>
        <v/>
      </c>
      <c r="AW65" s="27" t="str">
        <f>""</f>
        <v/>
      </c>
      <c r="AX65" s="27" t="str">
        <f>"2045-2047"</f>
        <v>2045-2047</v>
      </c>
      <c r="AY65" s="27" t="str">
        <f>""</f>
        <v/>
      </c>
      <c r="AZ65" s="27" t="str">
        <f>""</f>
        <v/>
      </c>
      <c r="BA65" s="27" t="str">
        <f>""</f>
        <v/>
      </c>
      <c r="BB65" s="27" t="str">
        <f>""</f>
        <v/>
      </c>
      <c r="BC65" s="27" t="str">
        <f>""</f>
        <v/>
      </c>
      <c r="BD65" s="27" t="str">
        <f>""</f>
        <v/>
      </c>
      <c r="BE65" s="27" t="str">
        <f>""</f>
        <v/>
      </c>
      <c r="BF65" s="27" t="str">
        <f>""</f>
        <v/>
      </c>
      <c r="BG65" s="27" t="str">
        <f>""</f>
        <v/>
      </c>
      <c r="BH65" s="27" t="str">
        <f>""</f>
        <v/>
      </c>
      <c r="BI65" s="27" t="str">
        <f>"2035-2037"</f>
        <v>2035-2037</v>
      </c>
      <c r="BJ65" s="27" t="str">
        <f t="shared" si="53"/>
        <v>нет</v>
      </c>
      <c r="BK65" s="27" t="str">
        <f t="shared" si="59"/>
        <v>x</v>
      </c>
      <c r="BL65" s="27" t="str">
        <f t="shared" ref="BL65:BM67" si="61">"x"</f>
        <v>x</v>
      </c>
      <c r="BM65" s="27" t="str">
        <f t="shared" si="61"/>
        <v>x</v>
      </c>
      <c r="BN65" s="27" t="str">
        <f>""</f>
        <v/>
      </c>
      <c r="BO65" s="27" t="str">
        <f>""</f>
        <v/>
      </c>
      <c r="BP65" s="27" t="str">
        <f>"2037-2039"</f>
        <v>2037-2039</v>
      </c>
      <c r="BQ65" s="27" t="str">
        <f>""</f>
        <v/>
      </c>
      <c r="BR65" s="27" t="str">
        <f>""</f>
        <v/>
      </c>
      <c r="BS65" s="27" t="str">
        <f>"2045-2047"</f>
        <v>2045-2047</v>
      </c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  <c r="DB65" s="11"/>
      <c r="DC65" s="11"/>
      <c r="DD65" s="11"/>
      <c r="DE65" s="11"/>
      <c r="DF65" s="11"/>
      <c r="DG65" s="11"/>
      <c r="DH65" s="11"/>
      <c r="DI65" s="11"/>
      <c r="DJ65" s="11"/>
      <c r="DK65" s="11"/>
      <c r="DL65" s="11"/>
      <c r="DM65" s="11"/>
      <c r="DN65" s="11"/>
      <c r="DO65" s="11"/>
    </row>
    <row r="66" spans="1:119" s="9" customFormat="1" ht="11.25" customHeight="1">
      <c r="A66" s="24" t="str">
        <f>"1.53"</f>
        <v>1.53</v>
      </c>
      <c r="B66" s="25" t="str">
        <f>"г. Кириллов, ул. Ленина, д.152"</f>
        <v>г. Кириллов, ул. Ленина, д.152</v>
      </c>
      <c r="C66" s="26" t="str">
        <f>""</f>
        <v/>
      </c>
      <c r="D66" s="27" t="str">
        <f>""</f>
        <v/>
      </c>
      <c r="E66" s="27" t="str">
        <f>""</f>
        <v/>
      </c>
      <c r="F66" s="27" t="str">
        <f>"2034-2036"</f>
        <v>2034-2036</v>
      </c>
      <c r="G66" s="27" t="str">
        <f>""</f>
        <v/>
      </c>
      <c r="H66" s="27" t="str">
        <f>""</f>
        <v/>
      </c>
      <c r="I66" s="27" t="str">
        <f>""</f>
        <v/>
      </c>
      <c r="J66" s="27" t="str">
        <f>"2030-2032"</f>
        <v>2030-2032</v>
      </c>
      <c r="K66" s="27" t="str">
        <f>""</f>
        <v/>
      </c>
      <c r="L66" s="27" t="str">
        <f>""</f>
        <v/>
      </c>
      <c r="M66" s="27" t="str">
        <f>""</f>
        <v/>
      </c>
      <c r="N66" s="27" t="str">
        <f>""</f>
        <v/>
      </c>
      <c r="O66" s="28" t="str">
        <f>""</f>
        <v/>
      </c>
      <c r="P66" s="27" t="str">
        <f>""</f>
        <v/>
      </c>
      <c r="Q66" s="27" t="str">
        <f>""</f>
        <v/>
      </c>
      <c r="R66" s="27" t="str">
        <f>""</f>
        <v/>
      </c>
      <c r="S66" s="27" t="str">
        <f>""</f>
        <v/>
      </c>
      <c r="T66" s="27" t="str">
        <f>""</f>
        <v/>
      </c>
      <c r="U66" s="27" t="str">
        <f>""</f>
        <v/>
      </c>
      <c r="V66" s="27" t="str">
        <f>""</f>
        <v/>
      </c>
      <c r="W66" s="27" t="str">
        <f>""</f>
        <v/>
      </c>
      <c r="X66" s="27" t="str">
        <f>""</f>
        <v/>
      </c>
      <c r="Y66" s="29" t="str">
        <f>""</f>
        <v/>
      </c>
      <c r="Z66" s="27" t="str">
        <f>""</f>
        <v/>
      </c>
      <c r="AA66" s="27" t="str">
        <f>""</f>
        <v/>
      </c>
      <c r="AB66" s="27" t="str">
        <f>""</f>
        <v/>
      </c>
      <c r="AC66" s="27" t="str">
        <f>""</f>
        <v/>
      </c>
      <c r="AD66" s="27" t="str">
        <f>""</f>
        <v/>
      </c>
      <c r="AE66" s="27" t="str">
        <f>""</f>
        <v/>
      </c>
      <c r="AF66" s="27" t="str">
        <f>""</f>
        <v/>
      </c>
      <c r="AG66" s="27" t="str">
        <f>""</f>
        <v/>
      </c>
      <c r="AH66" s="27" t="str">
        <f>""</f>
        <v/>
      </c>
      <c r="AI66" s="27" t="str">
        <f>""</f>
        <v/>
      </c>
      <c r="AJ66" s="27" t="str">
        <f>""</f>
        <v/>
      </c>
      <c r="AK66" s="28" t="str">
        <f>""</f>
        <v/>
      </c>
      <c r="AL66" s="27" t="str">
        <f>""</f>
        <v/>
      </c>
      <c r="AM66" s="27" t="str">
        <f>"2044-2046"</f>
        <v>2044-2046</v>
      </c>
      <c r="AN66" s="30" t="str">
        <f>""</f>
        <v/>
      </c>
      <c r="AO66" s="27" t="str">
        <f>""</f>
        <v/>
      </c>
      <c r="AP66" s="27" t="str">
        <f>""</f>
        <v/>
      </c>
      <c r="AQ66" s="27" t="str">
        <f>"2026-2028"</f>
        <v>2026-2028</v>
      </c>
      <c r="AR66" s="27" t="str">
        <f>""</f>
        <v/>
      </c>
      <c r="AS66" s="27" t="str">
        <f>""</f>
        <v/>
      </c>
      <c r="AT66" s="27" t="str">
        <f>""</f>
        <v/>
      </c>
      <c r="AU66" s="27" t="str">
        <f>""</f>
        <v/>
      </c>
      <c r="AV66" s="27" t="str">
        <f>""</f>
        <v/>
      </c>
      <c r="AW66" s="27" t="str">
        <f>""</f>
        <v/>
      </c>
      <c r="AX66" s="27" t="str">
        <f>"2045-2047"</f>
        <v>2045-2047</v>
      </c>
      <c r="AY66" s="27" t="str">
        <f>""</f>
        <v/>
      </c>
      <c r="AZ66" s="27" t="str">
        <f>""</f>
        <v/>
      </c>
      <c r="BA66" s="27" t="str">
        <f>""</f>
        <v/>
      </c>
      <c r="BB66" s="27" t="str">
        <f>""</f>
        <v/>
      </c>
      <c r="BC66" s="27" t="str">
        <f>""</f>
        <v/>
      </c>
      <c r="BD66" s="27" t="str">
        <f>""</f>
        <v/>
      </c>
      <c r="BE66" s="27" t="str">
        <f>""</f>
        <v/>
      </c>
      <c r="BF66" s="27" t="str">
        <f>""</f>
        <v/>
      </c>
      <c r="BG66" s="27" t="str">
        <f>""</f>
        <v/>
      </c>
      <c r="BH66" s="27" t="str">
        <f>""</f>
        <v/>
      </c>
      <c r="BI66" s="27" t="str">
        <f>"2035-2037"</f>
        <v>2035-2037</v>
      </c>
      <c r="BJ66" s="27" t="str">
        <f t="shared" si="53"/>
        <v>нет</v>
      </c>
      <c r="BK66" s="27" t="str">
        <f t="shared" si="59"/>
        <v>x</v>
      </c>
      <c r="BL66" s="27" t="str">
        <f t="shared" si="61"/>
        <v>x</v>
      </c>
      <c r="BM66" s="27" t="str">
        <f t="shared" si="61"/>
        <v>x</v>
      </c>
      <c r="BN66" s="27" t="str">
        <f>""</f>
        <v/>
      </c>
      <c r="BO66" s="27" t="str">
        <f>""</f>
        <v/>
      </c>
      <c r="BP66" s="27" t="str">
        <f>"2037-2039"</f>
        <v>2037-2039</v>
      </c>
      <c r="BQ66" s="27" t="str">
        <f>""</f>
        <v/>
      </c>
      <c r="BR66" s="27" t="str">
        <f>""</f>
        <v/>
      </c>
      <c r="BS66" s="27" t="str">
        <f>"2045-2047"</f>
        <v>2045-2047</v>
      </c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  <c r="CT66" s="11"/>
      <c r="CU66" s="11"/>
      <c r="CV66" s="11"/>
      <c r="CW66" s="11"/>
      <c r="CX66" s="11"/>
      <c r="CY66" s="11"/>
      <c r="CZ66" s="11"/>
      <c r="DA66" s="11"/>
      <c r="DB66" s="11"/>
      <c r="DC66" s="11"/>
      <c r="DD66" s="11"/>
      <c r="DE66" s="11"/>
      <c r="DF66" s="11"/>
      <c r="DG66" s="11"/>
      <c r="DH66" s="11"/>
      <c r="DI66" s="11"/>
      <c r="DJ66" s="11"/>
      <c r="DK66" s="11"/>
      <c r="DL66" s="11"/>
      <c r="DM66" s="11"/>
      <c r="DN66" s="11"/>
      <c r="DO66" s="11"/>
    </row>
    <row r="67" spans="1:119" s="9" customFormat="1" ht="11.25" customHeight="1">
      <c r="A67" s="24" t="str">
        <f>"1.54"</f>
        <v>1.54</v>
      </c>
      <c r="B67" s="25" t="str">
        <f>"г. Кириллов, ул. Ленина, д.152а"</f>
        <v>г. Кириллов, ул. Ленина, д.152а</v>
      </c>
      <c r="C67" s="26" t="str">
        <f>""</f>
        <v/>
      </c>
      <c r="D67" s="27" t="str">
        <f>""</f>
        <v/>
      </c>
      <c r="E67" s="27" t="str">
        <f>""</f>
        <v/>
      </c>
      <c r="F67" s="27" t="str">
        <f>"2034-2036"</f>
        <v>2034-2036</v>
      </c>
      <c r="G67" s="27" t="str">
        <f>""</f>
        <v/>
      </c>
      <c r="H67" s="27" t="str">
        <f>""</f>
        <v/>
      </c>
      <c r="I67" s="27" t="str">
        <f>""</f>
        <v/>
      </c>
      <c r="J67" s="27" t="str">
        <f>"2030-2032"</f>
        <v>2030-2032</v>
      </c>
      <c r="K67" s="27" t="str">
        <f>""</f>
        <v/>
      </c>
      <c r="L67" s="27" t="str">
        <f>""</f>
        <v/>
      </c>
      <c r="M67" s="27" t="str">
        <f>""</f>
        <v/>
      </c>
      <c r="N67" s="27" t="str">
        <f>""</f>
        <v/>
      </c>
      <c r="O67" s="28" t="str">
        <f>""</f>
        <v/>
      </c>
      <c r="P67" s="27" t="str">
        <f>""</f>
        <v/>
      </c>
      <c r="Q67" s="27" t="str">
        <f>""</f>
        <v/>
      </c>
      <c r="R67" s="27" t="str">
        <f>""</f>
        <v/>
      </c>
      <c r="S67" s="27" t="str">
        <f>""</f>
        <v/>
      </c>
      <c r="T67" s="27" t="str">
        <f>""</f>
        <v/>
      </c>
      <c r="U67" s="27" t="str">
        <f>""</f>
        <v/>
      </c>
      <c r="V67" s="27" t="str">
        <f>""</f>
        <v/>
      </c>
      <c r="W67" s="27" t="str">
        <f>""</f>
        <v/>
      </c>
      <c r="X67" s="27" t="str">
        <f>""</f>
        <v/>
      </c>
      <c r="Y67" s="29" t="str">
        <f>""</f>
        <v/>
      </c>
      <c r="Z67" s="27" t="str">
        <f>""</f>
        <v/>
      </c>
      <c r="AA67" s="27" t="str">
        <f>""</f>
        <v/>
      </c>
      <c r="AB67" s="27" t="str">
        <f>""</f>
        <v/>
      </c>
      <c r="AC67" s="27" t="str">
        <f>""</f>
        <v/>
      </c>
      <c r="AD67" s="27" t="str">
        <f>""</f>
        <v/>
      </c>
      <c r="AE67" s="27" t="str">
        <f>""</f>
        <v/>
      </c>
      <c r="AF67" s="27" t="str">
        <f>""</f>
        <v/>
      </c>
      <c r="AG67" s="27" t="str">
        <f>""</f>
        <v/>
      </c>
      <c r="AH67" s="27" t="str">
        <f>""</f>
        <v/>
      </c>
      <c r="AI67" s="27" t="str">
        <f>""</f>
        <v/>
      </c>
      <c r="AJ67" s="27" t="str">
        <f>""</f>
        <v/>
      </c>
      <c r="AK67" s="28" t="str">
        <f>""</f>
        <v/>
      </c>
      <c r="AL67" s="27" t="str">
        <f>""</f>
        <v/>
      </c>
      <c r="AM67" s="27" t="str">
        <f>"2044-2046"</f>
        <v>2044-2046</v>
      </c>
      <c r="AN67" s="30" t="str">
        <f>""</f>
        <v/>
      </c>
      <c r="AO67" s="27" t="str">
        <f>""</f>
        <v/>
      </c>
      <c r="AP67" s="27" t="str">
        <f>""</f>
        <v/>
      </c>
      <c r="AQ67" s="27" t="str">
        <f>"2026-2028"</f>
        <v>2026-2028</v>
      </c>
      <c r="AR67" s="27" t="str">
        <f>""</f>
        <v/>
      </c>
      <c r="AS67" s="27" t="str">
        <f>""</f>
        <v/>
      </c>
      <c r="AT67" s="27" t="str">
        <f>""</f>
        <v/>
      </c>
      <c r="AU67" s="27" t="str">
        <f>""</f>
        <v/>
      </c>
      <c r="AV67" s="27" t="str">
        <f>""</f>
        <v/>
      </c>
      <c r="AW67" s="27" t="str">
        <f>""</f>
        <v/>
      </c>
      <c r="AX67" s="27" t="str">
        <f>"2045-2047"</f>
        <v>2045-2047</v>
      </c>
      <c r="AY67" s="27" t="str">
        <f>""</f>
        <v/>
      </c>
      <c r="AZ67" s="27" t="str">
        <f>""</f>
        <v/>
      </c>
      <c r="BA67" s="27" t="str">
        <f>""</f>
        <v/>
      </c>
      <c r="BB67" s="27" t="str">
        <f>""</f>
        <v/>
      </c>
      <c r="BC67" s="27" t="str">
        <f>""</f>
        <v/>
      </c>
      <c r="BD67" s="27" t="str">
        <f>""</f>
        <v/>
      </c>
      <c r="BE67" s="27" t="str">
        <f>""</f>
        <v/>
      </c>
      <c r="BF67" s="27" t="str">
        <f>""</f>
        <v/>
      </c>
      <c r="BG67" s="27" t="str">
        <f>""</f>
        <v/>
      </c>
      <c r="BH67" s="27" t="str">
        <f>""</f>
        <v/>
      </c>
      <c r="BI67" s="27" t="str">
        <f>"2035-2037"</f>
        <v>2035-2037</v>
      </c>
      <c r="BJ67" s="27" t="str">
        <f t="shared" si="53"/>
        <v>нет</v>
      </c>
      <c r="BK67" s="27" t="str">
        <f t="shared" si="59"/>
        <v>x</v>
      </c>
      <c r="BL67" s="27" t="str">
        <f t="shared" si="61"/>
        <v>x</v>
      </c>
      <c r="BM67" s="27" t="str">
        <f t="shared" si="61"/>
        <v>x</v>
      </c>
      <c r="BN67" s="27" t="str">
        <f>""</f>
        <v/>
      </c>
      <c r="BO67" s="27" t="str">
        <f>""</f>
        <v/>
      </c>
      <c r="BP67" s="27" t="str">
        <f>"2037-2039"</f>
        <v>2037-2039</v>
      </c>
      <c r="BQ67" s="27" t="str">
        <f>""</f>
        <v/>
      </c>
      <c r="BR67" s="27" t="str">
        <f>""</f>
        <v/>
      </c>
      <c r="BS67" s="27" t="str">
        <f>"2045-2047"</f>
        <v>2045-2047</v>
      </c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  <c r="CT67" s="11"/>
      <c r="CU67" s="11"/>
      <c r="CV67" s="11"/>
      <c r="CW67" s="11"/>
      <c r="CX67" s="11"/>
      <c r="CY67" s="11"/>
      <c r="CZ67" s="11"/>
      <c r="DA67" s="11"/>
      <c r="DB67" s="11"/>
      <c r="DC67" s="11"/>
      <c r="DD67" s="11"/>
      <c r="DE67" s="11"/>
      <c r="DF67" s="11"/>
      <c r="DG67" s="11"/>
      <c r="DH67" s="11"/>
      <c r="DI67" s="11"/>
      <c r="DJ67" s="11"/>
      <c r="DK67" s="11"/>
      <c r="DL67" s="11"/>
      <c r="DM67" s="11"/>
      <c r="DN67" s="11"/>
      <c r="DO67" s="11"/>
    </row>
    <row r="68" spans="1:119" s="10" customFormat="1" ht="11.25" customHeight="1">
      <c r="A68" s="24" t="str">
        <f>"1.55"</f>
        <v>1.55</v>
      </c>
      <c r="B68" s="25" t="str">
        <f>"г. Кириллов, ул. Ленина, д.18"</f>
        <v>г. Кириллов, ул. Ленина, д.18</v>
      </c>
      <c r="C68" s="26" t="str">
        <f>"2000"</f>
        <v>2000</v>
      </c>
      <c r="D68" s="27" t="str">
        <f>""</f>
        <v/>
      </c>
      <c r="E68" s="27" t="str">
        <f>"65,00"</f>
        <v>65,00</v>
      </c>
      <c r="F68" s="27" t="str">
        <f>"2033-2035"</f>
        <v>2033-2035</v>
      </c>
      <c r="G68" s="27" t="str">
        <f>"нет"</f>
        <v>нет</v>
      </c>
      <c r="H68" s="27" t="str">
        <f>""</f>
        <v/>
      </c>
      <c r="I68" s="27" t="str">
        <f>""</f>
        <v/>
      </c>
      <c r="J68" s="27" t="str">
        <f>""</f>
        <v/>
      </c>
      <c r="K68" s="27" t="str">
        <f>"нет"</f>
        <v>нет</v>
      </c>
      <c r="L68" s="27" t="str">
        <f>""</f>
        <v/>
      </c>
      <c r="M68" s="27" t="str">
        <f>""</f>
        <v/>
      </c>
      <c r="N68" s="27" t="str">
        <f>""</f>
        <v/>
      </c>
      <c r="O68" s="28" t="str">
        <f>""</f>
        <v/>
      </c>
      <c r="P68" s="27" t="str">
        <f>""</f>
        <v/>
      </c>
      <c r="Q68" s="27" t="str">
        <f>""</f>
        <v/>
      </c>
      <c r="R68" s="27" t="str">
        <f>"нет"</f>
        <v>нет</v>
      </c>
      <c r="S68" s="27" t="str">
        <f>""</f>
        <v/>
      </c>
      <c r="T68" s="27" t="str">
        <f>""</f>
        <v/>
      </c>
      <c r="U68" s="27" t="str">
        <f>""</f>
        <v/>
      </c>
      <c r="V68" s="27" t="str">
        <f>"нет"</f>
        <v>нет</v>
      </c>
      <c r="W68" s="27" t="str">
        <f>""</f>
        <v/>
      </c>
      <c r="X68" s="27" t="str">
        <f>""</f>
        <v/>
      </c>
      <c r="Y68" s="29" t="str">
        <f>""</f>
        <v/>
      </c>
      <c r="Z68" s="27" t="str">
        <f t="shared" ref="Z68:AB74" si="62">"х"</f>
        <v>х</v>
      </c>
      <c r="AA68" s="27" t="str">
        <f t="shared" si="62"/>
        <v>х</v>
      </c>
      <c r="AB68" s="27" t="str">
        <f t="shared" si="62"/>
        <v>х</v>
      </c>
      <c r="AC68" s="27" t="str">
        <f>"нет"</f>
        <v>нет</v>
      </c>
      <c r="AD68" s="27" t="str">
        <f t="shared" ref="AD68:AF74" si="63">"х"</f>
        <v>х</v>
      </c>
      <c r="AE68" s="27" t="str">
        <f t="shared" si="63"/>
        <v>х</v>
      </c>
      <c r="AF68" s="27" t="str">
        <f t="shared" si="63"/>
        <v>х</v>
      </c>
      <c r="AG68" s="27" t="str">
        <f>"нет"</f>
        <v>нет</v>
      </c>
      <c r="AH68" s="27" t="str">
        <f t="shared" ref="AH68:AJ74" si="64">"х"</f>
        <v>х</v>
      </c>
      <c r="AI68" s="27" t="str">
        <f t="shared" si="64"/>
        <v>х</v>
      </c>
      <c r="AJ68" s="27" t="str">
        <f t="shared" si="64"/>
        <v>х</v>
      </c>
      <c r="AK68" s="28" t="str">
        <f>""</f>
        <v/>
      </c>
      <c r="AL68" s="27" t="str">
        <f>"43,00"</f>
        <v>43,00</v>
      </c>
      <c r="AM68" s="27" t="str">
        <f>"2026-2028"</f>
        <v>2026-2028</v>
      </c>
      <c r="AN68" s="30" t="str">
        <f>"нет"</f>
        <v>нет</v>
      </c>
      <c r="AO68" s="27" t="str">
        <f>""</f>
        <v/>
      </c>
      <c r="AP68" s="27" t="str">
        <f>""</f>
        <v/>
      </c>
      <c r="AQ68" s="27" t="str">
        <f>""</f>
        <v/>
      </c>
      <c r="AR68" s="27" t="str">
        <f>"нет"</f>
        <v>нет</v>
      </c>
      <c r="AS68" s="27" t="str">
        <f>""</f>
        <v/>
      </c>
      <c r="AT68" s="27" t="str">
        <f>""</f>
        <v/>
      </c>
      <c r="AU68" s="27" t="str">
        <f>""</f>
        <v/>
      </c>
      <c r="AV68" s="27" t="str">
        <f>""</f>
        <v/>
      </c>
      <c r="AW68" s="27" t="str">
        <f>"26,00"</f>
        <v>26,00</v>
      </c>
      <c r="AX68" s="27" t="str">
        <f>"2040-2042"</f>
        <v>2040-2042</v>
      </c>
      <c r="AY68" s="27" t="str">
        <f>"нет"</f>
        <v>нет</v>
      </c>
      <c r="AZ68" s="27" t="str">
        <f>""</f>
        <v/>
      </c>
      <c r="BA68" s="27" t="str">
        <f>""</f>
        <v/>
      </c>
      <c r="BB68" s="27" t="str">
        <f>""</f>
        <v/>
      </c>
      <c r="BC68" s="27" t="str">
        <f>"нет"</f>
        <v>нет</v>
      </c>
      <c r="BD68" s="27" t="str">
        <f>""</f>
        <v/>
      </c>
      <c r="BE68" s="27" t="str">
        <f>""</f>
        <v/>
      </c>
      <c r="BF68" s="27" t="str">
        <f>""</f>
        <v/>
      </c>
      <c r="BG68" s="27" t="str">
        <f>""</f>
        <v/>
      </c>
      <c r="BH68" s="27" t="str">
        <f>"60,00"</f>
        <v>60,00</v>
      </c>
      <c r="BI68" s="27" t="str">
        <f>"2022-2024"</f>
        <v>2022-2024</v>
      </c>
      <c r="BJ68" s="27" t="str">
        <f t="shared" si="53"/>
        <v>нет</v>
      </c>
      <c r="BK68" s="27" t="str">
        <f t="shared" si="59"/>
        <v>x</v>
      </c>
      <c r="BL68" s="27" t="str">
        <f>"26,00"</f>
        <v>26,00</v>
      </c>
      <c r="BM68" s="27" t="str">
        <f>"2040-2042"</f>
        <v>2040-2042</v>
      </c>
      <c r="BN68" s="27" t="str">
        <f>""</f>
        <v/>
      </c>
      <c r="BO68" s="27" t="str">
        <f>"30,00"</f>
        <v>30,00</v>
      </c>
      <c r="BP68" s="27" t="str">
        <f>"2031-2033"</f>
        <v>2031-2033</v>
      </c>
      <c r="BQ68" s="27" t="str">
        <f>""</f>
        <v/>
      </c>
      <c r="BR68" s="27" t="str">
        <f>"26,00"</f>
        <v>26,00</v>
      </c>
      <c r="BS68" s="27" t="str">
        <f>"2040-2042"</f>
        <v>2040-2042</v>
      </c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  <c r="CT68" s="11"/>
      <c r="CU68" s="11"/>
      <c r="CV68" s="11"/>
      <c r="CW68" s="11"/>
      <c r="CX68" s="11"/>
      <c r="CY68" s="11"/>
      <c r="CZ68" s="11"/>
      <c r="DA68" s="11"/>
      <c r="DB68" s="11"/>
      <c r="DC68" s="11"/>
      <c r="DD68" s="11"/>
      <c r="DE68" s="11"/>
      <c r="DF68" s="11"/>
      <c r="DG68" s="11"/>
      <c r="DH68" s="11"/>
      <c r="DI68" s="11"/>
      <c r="DJ68" s="11"/>
      <c r="DK68" s="11"/>
      <c r="DL68" s="11"/>
      <c r="DM68" s="11"/>
      <c r="DN68" s="11"/>
      <c r="DO68" s="11"/>
    </row>
    <row r="69" spans="1:119" s="10" customFormat="1" ht="11.25" customHeight="1">
      <c r="A69" s="24" t="str">
        <f>"1.56"</f>
        <v>1.56</v>
      </c>
      <c r="B69" s="25" t="str">
        <f>"г. Кириллов, ул. Ленина, д.31"</f>
        <v>г. Кириллов, ул. Ленина, д.31</v>
      </c>
      <c r="C69" s="26" t="str">
        <f>"1974"</f>
        <v>1974</v>
      </c>
      <c r="D69" s="27" t="str">
        <f>"1995"</f>
        <v>1995</v>
      </c>
      <c r="E69" s="27" t="str">
        <f>"72,00"</f>
        <v>72,00</v>
      </c>
      <c r="F69" s="27" t="str">
        <f>"2023-2025"</f>
        <v>2023-2025</v>
      </c>
      <c r="G69" s="27" t="str">
        <f>"да"</f>
        <v>да</v>
      </c>
      <c r="H69" s="27" t="str">
        <f>"2011"</f>
        <v>2011</v>
      </c>
      <c r="I69" s="27" t="str">
        <f>"13,00"</f>
        <v>13,00</v>
      </c>
      <c r="J69" s="27" t="str">
        <f>"2027-2029"</f>
        <v>2027-2029</v>
      </c>
      <c r="K69" s="27" t="str">
        <f>"нет"</f>
        <v>нет</v>
      </c>
      <c r="L69" s="27" t="str">
        <f>""</f>
        <v/>
      </c>
      <c r="M69" s="27" t="str">
        <f>""</f>
        <v/>
      </c>
      <c r="N69" s="27" t="str">
        <f>""</f>
        <v/>
      </c>
      <c r="O69" s="28" t="str">
        <f>""</f>
        <v/>
      </c>
      <c r="P69" s="27" t="str">
        <f>""</f>
        <v/>
      </c>
      <c r="Q69" s="27" t="str">
        <f>""</f>
        <v/>
      </c>
      <c r="R69" s="27" t="str">
        <f>"нет"</f>
        <v>нет</v>
      </c>
      <c r="S69" s="27" t="str">
        <f>""</f>
        <v/>
      </c>
      <c r="T69" s="27" t="str">
        <f>""</f>
        <v/>
      </c>
      <c r="U69" s="27" t="str">
        <f>""</f>
        <v/>
      </c>
      <c r="V69" s="27" t="str">
        <f>"нет"</f>
        <v>нет</v>
      </c>
      <c r="W69" s="27" t="str">
        <f>""</f>
        <v/>
      </c>
      <c r="X69" s="27" t="str">
        <f>""</f>
        <v/>
      </c>
      <c r="Y69" s="29" t="str">
        <f>""</f>
        <v/>
      </c>
      <c r="Z69" s="27" t="str">
        <f t="shared" si="62"/>
        <v>х</v>
      </c>
      <c r="AA69" s="27" t="str">
        <f t="shared" si="62"/>
        <v>х</v>
      </c>
      <c r="AB69" s="27" t="str">
        <f t="shared" si="62"/>
        <v>х</v>
      </c>
      <c r="AC69" s="27" t="str">
        <f>"нет"</f>
        <v>нет</v>
      </c>
      <c r="AD69" s="27" t="str">
        <f t="shared" si="63"/>
        <v>х</v>
      </c>
      <c r="AE69" s="27" t="str">
        <f t="shared" si="63"/>
        <v>х</v>
      </c>
      <c r="AF69" s="27" t="str">
        <f t="shared" si="63"/>
        <v>х</v>
      </c>
      <c r="AG69" s="27" t="str">
        <f>"нет"</f>
        <v>нет</v>
      </c>
      <c r="AH69" s="27" t="str">
        <f t="shared" si="64"/>
        <v>х</v>
      </c>
      <c r="AI69" s="27" t="str">
        <f t="shared" si="64"/>
        <v>х</v>
      </c>
      <c r="AJ69" s="27" t="str">
        <f t="shared" si="64"/>
        <v>х</v>
      </c>
      <c r="AK69" s="28" t="str">
        <f>"2009"</f>
        <v>2009</v>
      </c>
      <c r="AL69" s="27" t="str">
        <f>"13,00"</f>
        <v>13,00</v>
      </c>
      <c r="AM69" s="27" t="str">
        <f>"2039-2041"</f>
        <v>2039-2041</v>
      </c>
      <c r="AN69" s="30" t="str">
        <f>"нет"</f>
        <v>нет</v>
      </c>
      <c r="AO69" s="27" t="str">
        <f>""</f>
        <v/>
      </c>
      <c r="AP69" s="27" t="str">
        <f>""</f>
        <v/>
      </c>
      <c r="AQ69" s="27" t="str">
        <f>""</f>
        <v/>
      </c>
      <c r="AR69" s="27" t="str">
        <f>"нет"</f>
        <v>нет</v>
      </c>
      <c r="AS69" s="27" t="str">
        <f>""</f>
        <v/>
      </c>
      <c r="AT69" s="27" t="str">
        <f>""</f>
        <v/>
      </c>
      <c r="AU69" s="27" t="str">
        <f>""</f>
        <v/>
      </c>
      <c r="AV69" s="27" t="str">
        <f>"2009"</f>
        <v>2009</v>
      </c>
      <c r="AW69" s="27" t="str">
        <f>"8,00"</f>
        <v>8,00</v>
      </c>
      <c r="AX69" s="27" t="str">
        <f>"2045-2047"</f>
        <v>2045-2047</v>
      </c>
      <c r="AY69" s="27" t="str">
        <f>"нет"</f>
        <v>нет</v>
      </c>
      <c r="AZ69" s="27" t="str">
        <f>""</f>
        <v/>
      </c>
      <c r="BA69" s="27" t="str">
        <f>""</f>
        <v/>
      </c>
      <c r="BB69" s="27" t="str">
        <f>""</f>
        <v/>
      </c>
      <c r="BC69" s="27" t="str">
        <f>"нет"</f>
        <v>нет</v>
      </c>
      <c r="BD69" s="27" t="str">
        <f>""</f>
        <v/>
      </c>
      <c r="BE69" s="27" t="str">
        <f>""</f>
        <v/>
      </c>
      <c r="BF69" s="27" t="str">
        <f>""</f>
        <v/>
      </c>
      <c r="BG69" s="27" t="str">
        <f>""</f>
        <v/>
      </c>
      <c r="BH69" s="27" t="str">
        <f>"65,00"</f>
        <v>65,00</v>
      </c>
      <c r="BI69" s="27" t="str">
        <f>"2018-2020"</f>
        <v>2018-2020</v>
      </c>
      <c r="BJ69" s="27" t="str">
        <f t="shared" si="53"/>
        <v>нет</v>
      </c>
      <c r="BK69" s="27" t="str">
        <f t="shared" si="59"/>
        <v>x</v>
      </c>
      <c r="BL69" s="27" t="str">
        <f>"50,00"</f>
        <v>50,00</v>
      </c>
      <c r="BM69" s="27" t="str">
        <f>"2019-2021"</f>
        <v>2019-2021</v>
      </c>
      <c r="BN69" s="27" t="str">
        <f>""</f>
        <v/>
      </c>
      <c r="BO69" s="27" t="str">
        <f>"65,00"</f>
        <v>65,00</v>
      </c>
      <c r="BP69" s="27" t="str">
        <f>"2024-2026"</f>
        <v>2024-2026</v>
      </c>
      <c r="BQ69" s="27" t="str">
        <f>""</f>
        <v/>
      </c>
      <c r="BR69" s="27" t="str">
        <f>"50,00"</f>
        <v>50,00</v>
      </c>
      <c r="BS69" s="27" t="str">
        <f>"2019-2021"</f>
        <v>2019-2021</v>
      </c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1"/>
      <c r="CS69" s="11"/>
      <c r="CT69" s="11"/>
      <c r="CU69" s="11"/>
      <c r="CV69" s="11"/>
      <c r="CW69" s="11"/>
      <c r="CX69" s="11"/>
      <c r="CY69" s="11"/>
      <c r="CZ69" s="11"/>
      <c r="DA69" s="11"/>
      <c r="DB69" s="11"/>
      <c r="DC69" s="11"/>
      <c r="DD69" s="11"/>
      <c r="DE69" s="11"/>
      <c r="DF69" s="11"/>
      <c r="DG69" s="11"/>
      <c r="DH69" s="11"/>
      <c r="DI69" s="11"/>
      <c r="DJ69" s="11"/>
      <c r="DK69" s="11"/>
      <c r="DL69" s="11"/>
      <c r="DM69" s="11"/>
      <c r="DN69" s="11"/>
      <c r="DO69" s="11"/>
    </row>
    <row r="70" spans="1:119" s="9" customFormat="1" ht="11.25" customHeight="1">
      <c r="A70" s="24" t="str">
        <f>"1.57"</f>
        <v>1.57</v>
      </c>
      <c r="B70" s="25" t="str">
        <f>"г. Кириллов, ул. Ленина, д.38"</f>
        <v>г. Кириллов, ул. Ленина, д.38</v>
      </c>
      <c r="C70" s="26" t="str">
        <f>"1990"</f>
        <v>1990</v>
      </c>
      <c r="D70" s="27" t="str">
        <f>""</f>
        <v/>
      </c>
      <c r="E70" s="27" t="str">
        <f>""</f>
        <v/>
      </c>
      <c r="F70" s="27" t="str">
        <f>"2022-2024"</f>
        <v>2022-2024</v>
      </c>
      <c r="G70" s="27" t="str">
        <f>""</f>
        <v/>
      </c>
      <c r="H70" s="27" t="str">
        <f>""</f>
        <v/>
      </c>
      <c r="I70" s="27" t="str">
        <f>""</f>
        <v/>
      </c>
      <c r="J70" s="27" t="str">
        <f>"2027-2029"</f>
        <v>2027-2029</v>
      </c>
      <c r="K70" s="27" t="str">
        <f>""</f>
        <v/>
      </c>
      <c r="L70" s="27" t="str">
        <f>""</f>
        <v/>
      </c>
      <c r="M70" s="27" t="str">
        <f>""</f>
        <v/>
      </c>
      <c r="N70" s="27" t="str">
        <f>""</f>
        <v/>
      </c>
      <c r="O70" s="28" t="str">
        <f t="shared" ref="O70:Y70" si="65">"х"</f>
        <v>х</v>
      </c>
      <c r="P70" s="27" t="str">
        <f t="shared" si="65"/>
        <v>х</v>
      </c>
      <c r="Q70" s="27" t="str">
        <f t="shared" si="65"/>
        <v>х</v>
      </c>
      <c r="R70" s="27" t="str">
        <f t="shared" si="65"/>
        <v>х</v>
      </c>
      <c r="S70" s="27" t="str">
        <f t="shared" si="65"/>
        <v>х</v>
      </c>
      <c r="T70" s="27" t="str">
        <f t="shared" si="65"/>
        <v>х</v>
      </c>
      <c r="U70" s="27" t="str">
        <f t="shared" si="65"/>
        <v>х</v>
      </c>
      <c r="V70" s="27" t="str">
        <f t="shared" si="65"/>
        <v>х</v>
      </c>
      <c r="W70" s="27" t="str">
        <f t="shared" si="65"/>
        <v>х</v>
      </c>
      <c r="X70" s="27" t="str">
        <f t="shared" si="65"/>
        <v>х</v>
      </c>
      <c r="Y70" s="29" t="str">
        <f t="shared" si="65"/>
        <v>х</v>
      </c>
      <c r="Z70" s="27" t="str">
        <f t="shared" si="62"/>
        <v>х</v>
      </c>
      <c r="AA70" s="27" t="str">
        <f t="shared" si="62"/>
        <v>х</v>
      </c>
      <c r="AB70" s="27" t="str">
        <f t="shared" si="62"/>
        <v>х</v>
      </c>
      <c r="AC70" s="27" t="str">
        <f>"х"</f>
        <v>х</v>
      </c>
      <c r="AD70" s="27" t="str">
        <f t="shared" si="63"/>
        <v>х</v>
      </c>
      <c r="AE70" s="27" t="str">
        <f t="shared" si="63"/>
        <v>х</v>
      </c>
      <c r="AF70" s="27" t="str">
        <f t="shared" si="63"/>
        <v>х</v>
      </c>
      <c r="AG70" s="27" t="str">
        <f>"х"</f>
        <v>х</v>
      </c>
      <c r="AH70" s="27" t="str">
        <f t="shared" si="64"/>
        <v>х</v>
      </c>
      <c r="AI70" s="27" t="str">
        <f t="shared" si="64"/>
        <v>х</v>
      </c>
      <c r="AJ70" s="27" t="str">
        <f t="shared" si="64"/>
        <v>х</v>
      </c>
      <c r="AK70" s="28" t="str">
        <f t="shared" ref="AK70:AU70" si="66">"х"</f>
        <v>х</v>
      </c>
      <c r="AL70" s="27" t="str">
        <f t="shared" si="66"/>
        <v>х</v>
      </c>
      <c r="AM70" s="27" t="str">
        <f t="shared" si="66"/>
        <v>х</v>
      </c>
      <c r="AN70" s="30" t="str">
        <f t="shared" si="66"/>
        <v>х</v>
      </c>
      <c r="AO70" s="27" t="str">
        <f t="shared" si="66"/>
        <v>х</v>
      </c>
      <c r="AP70" s="27" t="str">
        <f t="shared" si="66"/>
        <v>х</v>
      </c>
      <c r="AQ70" s="27" t="str">
        <f t="shared" si="66"/>
        <v>х</v>
      </c>
      <c r="AR70" s="27" t="str">
        <f t="shared" si="66"/>
        <v>х</v>
      </c>
      <c r="AS70" s="27" t="str">
        <f t="shared" si="66"/>
        <v>х</v>
      </c>
      <c r="AT70" s="27" t="str">
        <f t="shared" si="66"/>
        <v>х</v>
      </c>
      <c r="AU70" s="27" t="str">
        <f t="shared" si="66"/>
        <v>х</v>
      </c>
      <c r="AV70" s="27" t="str">
        <f t="shared" ref="AV70:BF70" si="67">"х"</f>
        <v>х</v>
      </c>
      <c r="AW70" s="27" t="str">
        <f t="shared" si="67"/>
        <v>х</v>
      </c>
      <c r="AX70" s="27" t="str">
        <f t="shared" si="67"/>
        <v>х</v>
      </c>
      <c r="AY70" s="27" t="str">
        <f t="shared" si="67"/>
        <v>х</v>
      </c>
      <c r="AZ70" s="27" t="str">
        <f t="shared" si="67"/>
        <v>х</v>
      </c>
      <c r="BA70" s="27" t="str">
        <f t="shared" si="67"/>
        <v>х</v>
      </c>
      <c r="BB70" s="27" t="str">
        <f t="shared" si="67"/>
        <v>х</v>
      </c>
      <c r="BC70" s="27" t="str">
        <f t="shared" si="67"/>
        <v>х</v>
      </c>
      <c r="BD70" s="27" t="str">
        <f t="shared" si="67"/>
        <v>х</v>
      </c>
      <c r="BE70" s="27" t="str">
        <f t="shared" si="67"/>
        <v>х</v>
      </c>
      <c r="BF70" s="27" t="str">
        <f t="shared" si="67"/>
        <v>х</v>
      </c>
      <c r="BG70" s="27" t="str">
        <f>""</f>
        <v/>
      </c>
      <c r="BH70" s="27" t="str">
        <f>""</f>
        <v/>
      </c>
      <c r="BI70" s="27" t="str">
        <f>"2020-2022"</f>
        <v>2020-2022</v>
      </c>
      <c r="BJ70" s="27" t="str">
        <f t="shared" si="53"/>
        <v>нет</v>
      </c>
      <c r="BK70" s="27" t="str">
        <f t="shared" si="59"/>
        <v>x</v>
      </c>
      <c r="BL70" s="27" t="str">
        <f>"x"</f>
        <v>x</v>
      </c>
      <c r="BM70" s="27" t="str">
        <f>"x"</f>
        <v>x</v>
      </c>
      <c r="BN70" s="27" t="str">
        <f>""</f>
        <v/>
      </c>
      <c r="BO70" s="27" t="str">
        <f>""</f>
        <v/>
      </c>
      <c r="BP70" s="27" t="str">
        <f>"2022-2024"</f>
        <v>2022-2024</v>
      </c>
      <c r="BQ70" s="27" t="str">
        <f>""</f>
        <v/>
      </c>
      <c r="BR70" s="27" t="str">
        <f>""</f>
        <v/>
      </c>
      <c r="BS70" s="27" t="str">
        <f>"2040-2042"</f>
        <v>2040-2042</v>
      </c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/>
      <c r="CM70" s="11"/>
      <c r="CN70" s="11"/>
      <c r="CO70" s="11"/>
      <c r="CP70" s="11"/>
      <c r="CQ70" s="11"/>
      <c r="CR70" s="11"/>
      <c r="CS70" s="11"/>
      <c r="CT70" s="11"/>
      <c r="CU70" s="11"/>
      <c r="CV70" s="11"/>
      <c r="CW70" s="11"/>
      <c r="CX70" s="11"/>
      <c r="CY70" s="11"/>
      <c r="CZ70" s="11"/>
      <c r="DA70" s="11"/>
      <c r="DB70" s="11"/>
      <c r="DC70" s="11"/>
      <c r="DD70" s="11"/>
      <c r="DE70" s="11"/>
      <c r="DF70" s="11"/>
      <c r="DG70" s="11"/>
      <c r="DH70" s="11"/>
      <c r="DI70" s="11"/>
      <c r="DJ70" s="11"/>
      <c r="DK70" s="11"/>
      <c r="DL70" s="11"/>
      <c r="DM70" s="11"/>
      <c r="DN70" s="11"/>
      <c r="DO70" s="11"/>
    </row>
    <row r="71" spans="1:119" s="10" customFormat="1" ht="11.25" customHeight="1">
      <c r="A71" s="24" t="str">
        <f>"1.58"</f>
        <v>1.58</v>
      </c>
      <c r="B71" s="25" t="str">
        <f>"г. Кириллов, ул. Ленина, д.48"</f>
        <v>г. Кириллов, ул. Ленина, д.48</v>
      </c>
      <c r="C71" s="26" t="str">
        <f>"1997"</f>
        <v>1997</v>
      </c>
      <c r="D71" s="27" t="str">
        <f>""</f>
        <v/>
      </c>
      <c r="E71" s="27" t="str">
        <f>"80,00"</f>
        <v>80,00</v>
      </c>
      <c r="F71" s="27" t="str">
        <f>"2037-2039"</f>
        <v>2037-2039</v>
      </c>
      <c r="G71" s="27" t="str">
        <f t="shared" ref="G71:G85" si="68">"да"</f>
        <v>да</v>
      </c>
      <c r="H71" s="27" t="str">
        <f>"2010"</f>
        <v>2010</v>
      </c>
      <c r="I71" s="27" t="str">
        <f>"19,00"</f>
        <v>19,00</v>
      </c>
      <c r="J71" s="27" t="str">
        <f>"2026-2028"</f>
        <v>2026-2028</v>
      </c>
      <c r="K71" s="27" t="str">
        <f>"нет"</f>
        <v>нет</v>
      </c>
      <c r="L71" s="27" t="str">
        <f>""</f>
        <v/>
      </c>
      <c r="M71" s="27" t="str">
        <f>""</f>
        <v/>
      </c>
      <c r="N71" s="27" t="str">
        <f>""</f>
        <v/>
      </c>
      <c r="O71" s="28" t="str">
        <f>""</f>
        <v/>
      </c>
      <c r="P71" s="27" t="str">
        <f>""</f>
        <v/>
      </c>
      <c r="Q71" s="27" t="str">
        <f>""</f>
        <v/>
      </c>
      <c r="R71" s="27" t="str">
        <f>"нет"</f>
        <v>нет</v>
      </c>
      <c r="S71" s="27" t="str">
        <f>""</f>
        <v/>
      </c>
      <c r="T71" s="27" t="str">
        <f>""</f>
        <v/>
      </c>
      <c r="U71" s="27" t="str">
        <f>""</f>
        <v/>
      </c>
      <c r="V71" s="27" t="str">
        <f>"нет"</f>
        <v>нет</v>
      </c>
      <c r="W71" s="27" t="str">
        <f>""</f>
        <v/>
      </c>
      <c r="X71" s="27" t="str">
        <f>""</f>
        <v/>
      </c>
      <c r="Y71" s="29" t="str">
        <f>""</f>
        <v/>
      </c>
      <c r="Z71" s="27" t="str">
        <f t="shared" si="62"/>
        <v>х</v>
      </c>
      <c r="AA71" s="27" t="str">
        <f t="shared" si="62"/>
        <v>х</v>
      </c>
      <c r="AB71" s="27" t="str">
        <f t="shared" si="62"/>
        <v>х</v>
      </c>
      <c r="AC71" s="27" t="str">
        <f>"нет"</f>
        <v>нет</v>
      </c>
      <c r="AD71" s="27" t="str">
        <f t="shared" si="63"/>
        <v>х</v>
      </c>
      <c r="AE71" s="27" t="str">
        <f t="shared" si="63"/>
        <v>х</v>
      </c>
      <c r="AF71" s="27" t="str">
        <f t="shared" si="63"/>
        <v>х</v>
      </c>
      <c r="AG71" s="27" t="str">
        <f>"нет"</f>
        <v>нет</v>
      </c>
      <c r="AH71" s="27" t="str">
        <f t="shared" si="64"/>
        <v>х</v>
      </c>
      <c r="AI71" s="27" t="str">
        <f t="shared" si="64"/>
        <v>х</v>
      </c>
      <c r="AJ71" s="27" t="str">
        <f t="shared" si="64"/>
        <v>х</v>
      </c>
      <c r="AK71" s="28" t="str">
        <f>""</f>
        <v/>
      </c>
      <c r="AL71" s="27" t="str">
        <f>"53,00"</f>
        <v>53,00</v>
      </c>
      <c r="AM71" s="27" t="str">
        <f>"2026-2028"</f>
        <v>2026-2028</v>
      </c>
      <c r="AN71" s="30" t="str">
        <f>"нет"</f>
        <v>нет</v>
      </c>
      <c r="AO71" s="27" t="str">
        <f>""</f>
        <v/>
      </c>
      <c r="AP71" s="27" t="str">
        <f>""</f>
        <v/>
      </c>
      <c r="AQ71" s="27" t="str">
        <f>""</f>
        <v/>
      </c>
      <c r="AR71" s="27" t="str">
        <f t="shared" ref="AR71:AR102" si="69">"нет"</f>
        <v>нет</v>
      </c>
      <c r="AS71" s="27" t="str">
        <f>""</f>
        <v/>
      </c>
      <c r="AT71" s="27" t="str">
        <f>""</f>
        <v/>
      </c>
      <c r="AU71" s="27" t="str">
        <f>""</f>
        <v/>
      </c>
      <c r="AV71" s="27" t="str">
        <f>""</f>
        <v/>
      </c>
      <c r="AW71" s="27" t="str">
        <f>"32,00"</f>
        <v>32,00</v>
      </c>
      <c r="AX71" s="27" t="str">
        <f>"2037-2039"</f>
        <v>2037-2039</v>
      </c>
      <c r="AY71" s="27" t="str">
        <f t="shared" ref="AY71:AY102" si="70">"нет"</f>
        <v>нет</v>
      </c>
      <c r="AZ71" s="27" t="str">
        <f>""</f>
        <v/>
      </c>
      <c r="BA71" s="27" t="str">
        <f>""</f>
        <v/>
      </c>
      <c r="BB71" s="27" t="str">
        <f>""</f>
        <v/>
      </c>
      <c r="BC71" s="27" t="str">
        <f t="shared" ref="BC71:BC102" si="71">"нет"</f>
        <v>нет</v>
      </c>
      <c r="BD71" s="27" t="str">
        <f>""</f>
        <v/>
      </c>
      <c r="BE71" s="27" t="str">
        <f>""</f>
        <v/>
      </c>
      <c r="BF71" s="27" t="str">
        <f>""</f>
        <v/>
      </c>
      <c r="BG71" s="27" t="str">
        <f>"1997"</f>
        <v>1997</v>
      </c>
      <c r="BH71" s="27" t="str">
        <f>"40,00"</f>
        <v>40,00</v>
      </c>
      <c r="BI71" s="27" t="str">
        <f>"2039-2041"</f>
        <v>2039-2041</v>
      </c>
      <c r="BJ71" s="27" t="str">
        <f t="shared" si="53"/>
        <v>нет</v>
      </c>
      <c r="BK71" s="27" t="str">
        <f t="shared" si="59"/>
        <v>x</v>
      </c>
      <c r="BL71" s="27" t="str">
        <f>"32,00"</f>
        <v>32,00</v>
      </c>
      <c r="BM71" s="27" t="str">
        <f>"2037-2039"</f>
        <v>2037-2039</v>
      </c>
      <c r="BN71" s="27" t="str">
        <f>""</f>
        <v/>
      </c>
      <c r="BO71" s="27" t="str">
        <f>"53,00"</f>
        <v>53,00</v>
      </c>
      <c r="BP71" s="27" t="str">
        <f>"2028-2030"</f>
        <v>2028-2030</v>
      </c>
      <c r="BQ71" s="27" t="str">
        <f>""</f>
        <v/>
      </c>
      <c r="BR71" s="27" t="str">
        <f>"32,00"</f>
        <v>32,00</v>
      </c>
      <c r="BS71" s="27" t="str">
        <f>"2037-2039"</f>
        <v>2037-2039</v>
      </c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/>
      <c r="CM71" s="11"/>
      <c r="CN71" s="11"/>
      <c r="CO71" s="11"/>
      <c r="CP71" s="11"/>
      <c r="CQ71" s="11"/>
      <c r="CR71" s="11"/>
      <c r="CS71" s="11"/>
      <c r="CT71" s="11"/>
      <c r="CU71" s="11"/>
      <c r="CV71" s="11"/>
      <c r="CW71" s="11"/>
      <c r="CX71" s="11"/>
      <c r="CY71" s="11"/>
      <c r="CZ71" s="11"/>
      <c r="DA71" s="11"/>
      <c r="DB71" s="11"/>
      <c r="DC71" s="11"/>
      <c r="DD71" s="11"/>
      <c r="DE71" s="11"/>
      <c r="DF71" s="11"/>
      <c r="DG71" s="11"/>
      <c r="DH71" s="11"/>
      <c r="DI71" s="11"/>
      <c r="DJ71" s="11"/>
      <c r="DK71" s="11"/>
      <c r="DL71" s="11"/>
      <c r="DM71" s="11"/>
      <c r="DN71" s="11"/>
      <c r="DO71" s="11"/>
    </row>
    <row r="72" spans="1:119" s="10" customFormat="1" ht="11.25" customHeight="1">
      <c r="A72" s="24" t="str">
        <f>"1.59"</f>
        <v>1.59</v>
      </c>
      <c r="B72" s="25" t="str">
        <f>"г. Кириллов, ул. Ленина, д.58"</f>
        <v>г. Кириллов, ул. Ленина, д.58</v>
      </c>
      <c r="C72" s="26" t="str">
        <f>"1988"</f>
        <v>1988</v>
      </c>
      <c r="D72" s="27" t="str">
        <f>"1995"</f>
        <v>1995</v>
      </c>
      <c r="E72" s="27" t="str">
        <f>"70,00"</f>
        <v>70,00</v>
      </c>
      <c r="F72" s="27" t="str">
        <f>"2026-2028"</f>
        <v>2026-2028</v>
      </c>
      <c r="G72" s="27" t="str">
        <f t="shared" si="68"/>
        <v>да</v>
      </c>
      <c r="H72" s="27" t="str">
        <f>"2011"</f>
        <v>2011</v>
      </c>
      <c r="I72" s="27" t="str">
        <f>"13,00"</f>
        <v>13,00</v>
      </c>
      <c r="J72" s="27" t="str">
        <f>"2027-2029"</f>
        <v>2027-2029</v>
      </c>
      <c r="K72" s="27" t="str">
        <f>"нет"</f>
        <v>нет</v>
      </c>
      <c r="L72" s="27" t="str">
        <f>""</f>
        <v/>
      </c>
      <c r="M72" s="27" t="str">
        <f>""</f>
        <v/>
      </c>
      <c r="N72" s="27" t="str">
        <f>""</f>
        <v/>
      </c>
      <c r="O72" s="28" t="str">
        <f>"1995"</f>
        <v>1995</v>
      </c>
      <c r="P72" s="27" t="str">
        <f>"72,00"</f>
        <v>72,00</v>
      </c>
      <c r="Q72" s="27" t="str">
        <f>"2026-2028"</f>
        <v>2026-2028</v>
      </c>
      <c r="R72" s="27" t="str">
        <f>"нет"</f>
        <v>нет</v>
      </c>
      <c r="S72" s="27" t="str">
        <f>""</f>
        <v/>
      </c>
      <c r="T72" s="27" t="str">
        <f>""</f>
        <v/>
      </c>
      <c r="U72" s="27" t="str">
        <f>""</f>
        <v/>
      </c>
      <c r="V72" s="27" t="str">
        <f>"нет"</f>
        <v>нет</v>
      </c>
      <c r="W72" s="27" t="str">
        <f>""</f>
        <v/>
      </c>
      <c r="X72" s="27" t="str">
        <f>""</f>
        <v/>
      </c>
      <c r="Y72" s="29" t="str">
        <f>""</f>
        <v/>
      </c>
      <c r="Z72" s="27" t="str">
        <f t="shared" si="62"/>
        <v>х</v>
      </c>
      <c r="AA72" s="27" t="str">
        <f t="shared" si="62"/>
        <v>х</v>
      </c>
      <c r="AB72" s="27" t="str">
        <f t="shared" si="62"/>
        <v>х</v>
      </c>
      <c r="AC72" s="27" t="str">
        <f>"х"</f>
        <v>х</v>
      </c>
      <c r="AD72" s="27" t="str">
        <f t="shared" si="63"/>
        <v>х</v>
      </c>
      <c r="AE72" s="27" t="str">
        <f t="shared" si="63"/>
        <v>х</v>
      </c>
      <c r="AF72" s="27" t="str">
        <f t="shared" si="63"/>
        <v>х</v>
      </c>
      <c r="AG72" s="27" t="str">
        <f>"х"</f>
        <v>х</v>
      </c>
      <c r="AH72" s="27" t="str">
        <f t="shared" si="64"/>
        <v>х</v>
      </c>
      <c r="AI72" s="27" t="str">
        <f t="shared" si="64"/>
        <v>х</v>
      </c>
      <c r="AJ72" s="27" t="str">
        <f t="shared" si="64"/>
        <v>х</v>
      </c>
      <c r="AK72" s="28" t="str">
        <f>"1995"</f>
        <v>1995</v>
      </c>
      <c r="AL72" s="27" t="str">
        <f>"60,00"</f>
        <v>60,00</v>
      </c>
      <c r="AM72" s="27" t="str">
        <f>"2021-2023"</f>
        <v>2021-2023</v>
      </c>
      <c r="AN72" s="30" t="str">
        <f>"нет"</f>
        <v>нет</v>
      </c>
      <c r="AO72" s="27" t="str">
        <f>""</f>
        <v/>
      </c>
      <c r="AP72" s="27" t="str">
        <f>""</f>
        <v/>
      </c>
      <c r="AQ72" s="27" t="str">
        <f>""</f>
        <v/>
      </c>
      <c r="AR72" s="27" t="str">
        <f t="shared" si="69"/>
        <v>нет</v>
      </c>
      <c r="AS72" s="27" t="str">
        <f>""</f>
        <v/>
      </c>
      <c r="AT72" s="27" t="str">
        <f>""</f>
        <v/>
      </c>
      <c r="AU72" s="27" t="str">
        <f>""</f>
        <v/>
      </c>
      <c r="AV72" s="27" t="str">
        <f>"1995"</f>
        <v>1995</v>
      </c>
      <c r="AW72" s="27" t="str">
        <f>"36,00"</f>
        <v>36,00</v>
      </c>
      <c r="AX72" s="27" t="str">
        <f>"2035-2037"</f>
        <v>2035-2037</v>
      </c>
      <c r="AY72" s="27" t="str">
        <f t="shared" si="70"/>
        <v>нет</v>
      </c>
      <c r="AZ72" s="27" t="str">
        <f>""</f>
        <v/>
      </c>
      <c r="BA72" s="27" t="str">
        <f>""</f>
        <v/>
      </c>
      <c r="BB72" s="27" t="str">
        <f>""</f>
        <v/>
      </c>
      <c r="BC72" s="27" t="str">
        <f t="shared" si="71"/>
        <v>нет</v>
      </c>
      <c r="BD72" s="27" t="str">
        <f>""</f>
        <v/>
      </c>
      <c r="BE72" s="27" t="str">
        <f>""</f>
        <v/>
      </c>
      <c r="BF72" s="27" t="str">
        <f>""</f>
        <v/>
      </c>
      <c r="BG72" s="27" t="str">
        <f>"1995"</f>
        <v>1995</v>
      </c>
      <c r="BH72" s="27" t="str">
        <f>"31,00"</f>
        <v>31,00</v>
      </c>
      <c r="BI72" s="27" t="str">
        <f>"2019-2021"</f>
        <v>2019-2021</v>
      </c>
      <c r="BJ72" s="27" t="str">
        <f t="shared" si="53"/>
        <v>нет</v>
      </c>
      <c r="BK72" s="27" t="str">
        <f>"2008"</f>
        <v>2008</v>
      </c>
      <c r="BL72" s="27" t="str">
        <f>"10,00"</f>
        <v>10,00</v>
      </c>
      <c r="BM72" s="27" t="str">
        <f>"2045-2047"</f>
        <v>2045-2047</v>
      </c>
      <c r="BN72" s="27" t="str">
        <f>""</f>
        <v/>
      </c>
      <c r="BO72" s="27" t="str">
        <f>"60,00"</f>
        <v>60,00</v>
      </c>
      <c r="BP72" s="27" t="str">
        <f>"2026-2028"</f>
        <v>2026-2028</v>
      </c>
      <c r="BQ72" s="27" t="str">
        <f>"2008"</f>
        <v>2008</v>
      </c>
      <c r="BR72" s="27" t="str">
        <f>"10,00"</f>
        <v>10,00</v>
      </c>
      <c r="BS72" s="27" t="str">
        <f>"2045-2047"</f>
        <v>2045-2047</v>
      </c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/>
      <c r="CF72" s="11"/>
      <c r="CG72" s="11"/>
      <c r="CH72" s="11"/>
      <c r="CI72" s="11"/>
      <c r="CJ72" s="11"/>
      <c r="CK72" s="11"/>
      <c r="CL72" s="11"/>
      <c r="CM72" s="11"/>
      <c r="CN72" s="11"/>
      <c r="CO72" s="11"/>
      <c r="CP72" s="11"/>
      <c r="CQ72" s="11"/>
      <c r="CR72" s="11"/>
      <c r="CS72" s="11"/>
      <c r="CT72" s="11"/>
      <c r="CU72" s="11"/>
      <c r="CV72" s="11"/>
      <c r="CW72" s="11"/>
      <c r="CX72" s="11"/>
      <c r="CY72" s="11"/>
      <c r="CZ72" s="11"/>
      <c r="DA72" s="11"/>
      <c r="DB72" s="11"/>
      <c r="DC72" s="11"/>
      <c r="DD72" s="11"/>
      <c r="DE72" s="11"/>
      <c r="DF72" s="11"/>
      <c r="DG72" s="11"/>
      <c r="DH72" s="11"/>
      <c r="DI72" s="11"/>
      <c r="DJ72" s="11"/>
      <c r="DK72" s="11"/>
      <c r="DL72" s="11"/>
      <c r="DM72" s="11"/>
      <c r="DN72" s="11"/>
      <c r="DO72" s="11"/>
    </row>
    <row r="73" spans="1:119" s="9" customFormat="1" ht="11.25" customHeight="1">
      <c r="A73" s="24" t="str">
        <f>"1.60"</f>
        <v>1.60</v>
      </c>
      <c r="B73" s="25" t="str">
        <f>"г. Кириллов, ул. Ленина, д.76"</f>
        <v>г. Кириллов, ул. Ленина, д.76</v>
      </c>
      <c r="C73" s="26" t="str">
        <f>"1996"</f>
        <v>1996</v>
      </c>
      <c r="D73" s="27" t="str">
        <f>""</f>
        <v/>
      </c>
      <c r="E73" s="27" t="str">
        <f>"70,00"</f>
        <v>70,00</v>
      </c>
      <c r="F73" s="27" t="str">
        <f>"2037-2039"</f>
        <v>2037-2039</v>
      </c>
      <c r="G73" s="27" t="str">
        <f t="shared" si="68"/>
        <v>да</v>
      </c>
      <c r="H73" s="27" t="str">
        <f>"2010"</f>
        <v>2010</v>
      </c>
      <c r="I73" s="27" t="str">
        <f>"19,00"</f>
        <v>19,00</v>
      </c>
      <c r="J73" s="27" t="str">
        <f>"2026-2028"</f>
        <v>2026-2028</v>
      </c>
      <c r="K73" s="27" t="str">
        <f>"нет"</f>
        <v>нет</v>
      </c>
      <c r="L73" s="27" t="str">
        <f>""</f>
        <v/>
      </c>
      <c r="M73" s="27" t="str">
        <f>""</f>
        <v/>
      </c>
      <c r="N73" s="27" t="str">
        <f>""</f>
        <v/>
      </c>
      <c r="O73" s="28" t="str">
        <f>""</f>
        <v/>
      </c>
      <c r="P73" s="27" t="str">
        <f>"43,00"</f>
        <v>43,00</v>
      </c>
      <c r="Q73" s="27" t="str">
        <f>"2028-2030"</f>
        <v>2028-2030</v>
      </c>
      <c r="R73" s="27" t="str">
        <f>"да"</f>
        <v>да</v>
      </c>
      <c r="S73" s="27" t="str">
        <f>"2009"</f>
        <v>2009</v>
      </c>
      <c r="T73" s="27" t="str">
        <f>"24,00"</f>
        <v>24,00</v>
      </c>
      <c r="U73" s="27" t="str">
        <f>"2025-2027"</f>
        <v>2025-2027</v>
      </c>
      <c r="V73" s="27" t="str">
        <f>"нет"</f>
        <v>нет</v>
      </c>
      <c r="W73" s="27" t="str">
        <f>""</f>
        <v/>
      </c>
      <c r="X73" s="27" t="str">
        <f>""</f>
        <v/>
      </c>
      <c r="Y73" s="29" t="str">
        <f>""</f>
        <v/>
      </c>
      <c r="Z73" s="27" t="str">
        <f t="shared" si="62"/>
        <v>х</v>
      </c>
      <c r="AA73" s="27" t="str">
        <f t="shared" si="62"/>
        <v>х</v>
      </c>
      <c r="AB73" s="27" t="str">
        <f t="shared" si="62"/>
        <v>х</v>
      </c>
      <c r="AC73" s="27" t="str">
        <f t="shared" ref="AC73:AC104" si="72">"нет"</f>
        <v>нет</v>
      </c>
      <c r="AD73" s="27" t="str">
        <f t="shared" si="63"/>
        <v>х</v>
      </c>
      <c r="AE73" s="27" t="str">
        <f t="shared" si="63"/>
        <v>х</v>
      </c>
      <c r="AF73" s="27" t="str">
        <f t="shared" si="63"/>
        <v>х</v>
      </c>
      <c r="AG73" s="27" t="str">
        <f t="shared" ref="AG73:AG104" si="73">"нет"</f>
        <v>нет</v>
      </c>
      <c r="AH73" s="27" t="str">
        <f t="shared" si="64"/>
        <v>х</v>
      </c>
      <c r="AI73" s="27" t="str">
        <f t="shared" si="64"/>
        <v>х</v>
      </c>
      <c r="AJ73" s="27" t="str">
        <f t="shared" si="64"/>
        <v>х</v>
      </c>
      <c r="AK73" s="28" t="str">
        <f>""</f>
        <v/>
      </c>
      <c r="AL73" s="27" t="str">
        <f>"56,00"</f>
        <v>56,00</v>
      </c>
      <c r="AM73" s="27" t="str">
        <f>"2026-2028"</f>
        <v>2026-2028</v>
      </c>
      <c r="AN73" s="30">
        <v>2015</v>
      </c>
      <c r="AO73" s="27" t="str">
        <f>""</f>
        <v/>
      </c>
      <c r="AP73" s="27" t="str">
        <f>""</f>
        <v/>
      </c>
      <c r="AQ73" s="27">
        <v>2030</v>
      </c>
      <c r="AR73" s="27" t="str">
        <f t="shared" si="69"/>
        <v>нет</v>
      </c>
      <c r="AS73" s="27" t="str">
        <f>""</f>
        <v/>
      </c>
      <c r="AT73" s="27" t="str">
        <f>""</f>
        <v/>
      </c>
      <c r="AU73" s="27" t="str">
        <f>""</f>
        <v/>
      </c>
      <c r="AV73" s="27" t="str">
        <f>""</f>
        <v/>
      </c>
      <c r="AW73" s="27" t="str">
        <f>"34,00"</f>
        <v>34,00</v>
      </c>
      <c r="AX73" s="27" t="str">
        <f>"2036-2038"</f>
        <v>2036-2038</v>
      </c>
      <c r="AY73" s="27" t="str">
        <f t="shared" si="70"/>
        <v>нет</v>
      </c>
      <c r="AZ73" s="27" t="str">
        <f>""</f>
        <v/>
      </c>
      <c r="BA73" s="27" t="str">
        <f>""</f>
        <v/>
      </c>
      <c r="BB73" s="27" t="str">
        <f>""</f>
        <v/>
      </c>
      <c r="BC73" s="27" t="str">
        <f t="shared" si="71"/>
        <v>нет</v>
      </c>
      <c r="BD73" s="27" t="str">
        <f>""</f>
        <v/>
      </c>
      <c r="BE73" s="27" t="str">
        <f>""</f>
        <v/>
      </c>
      <c r="BF73" s="27" t="str">
        <f>""</f>
        <v/>
      </c>
      <c r="BG73" s="27" t="str">
        <f>""</f>
        <v/>
      </c>
      <c r="BH73" s="27" t="str">
        <f>"42,00"</f>
        <v>42,00</v>
      </c>
      <c r="BI73" s="27" t="str">
        <f>"2021-2023"</f>
        <v>2021-2023</v>
      </c>
      <c r="BJ73" s="27" t="str">
        <f t="shared" si="53"/>
        <v>нет</v>
      </c>
      <c r="BK73" s="27" t="str">
        <f t="shared" ref="BK73:BK93" si="74">"x"</f>
        <v>x</v>
      </c>
      <c r="BL73" s="27" t="str">
        <f>"34,00"</f>
        <v>34,00</v>
      </c>
      <c r="BM73" s="27" t="str">
        <f>"2036-2038"</f>
        <v>2036-2038</v>
      </c>
      <c r="BN73" s="27" t="str">
        <f>""</f>
        <v/>
      </c>
      <c r="BO73" s="27" t="str">
        <f>"40,00"</f>
        <v>40,00</v>
      </c>
      <c r="BP73" s="27" t="str">
        <f>"2030-2032"</f>
        <v>2030-2032</v>
      </c>
      <c r="BQ73" s="27" t="str">
        <f>""</f>
        <v/>
      </c>
      <c r="BR73" s="27" t="str">
        <f>"34,00"</f>
        <v>34,00</v>
      </c>
      <c r="BS73" s="27" t="str">
        <f>"2036-2038"</f>
        <v>2036-2038</v>
      </c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/>
      <c r="CM73" s="11"/>
      <c r="CN73" s="11"/>
      <c r="CO73" s="11"/>
      <c r="CP73" s="11"/>
      <c r="CQ73" s="11"/>
      <c r="CR73" s="11"/>
      <c r="CS73" s="11"/>
      <c r="CT73" s="11"/>
      <c r="CU73" s="11"/>
      <c r="CV73" s="11"/>
      <c r="CW73" s="11"/>
      <c r="CX73" s="11"/>
      <c r="CY73" s="11"/>
      <c r="CZ73" s="11"/>
      <c r="DA73" s="11"/>
      <c r="DB73" s="11"/>
      <c r="DC73" s="11"/>
      <c r="DD73" s="11"/>
      <c r="DE73" s="11"/>
      <c r="DF73" s="11"/>
      <c r="DG73" s="11"/>
      <c r="DH73" s="11"/>
      <c r="DI73" s="11"/>
      <c r="DJ73" s="11"/>
      <c r="DK73" s="11"/>
      <c r="DL73" s="11"/>
      <c r="DM73" s="11"/>
      <c r="DN73" s="11"/>
      <c r="DO73" s="11"/>
    </row>
    <row r="74" spans="1:119" s="9" customFormat="1" ht="11.25" customHeight="1">
      <c r="A74" s="24" t="str">
        <f>"1.61"</f>
        <v>1.61</v>
      </c>
      <c r="B74" s="25" t="str">
        <f>"г. Кириллов, ул. Ленина, д.91"</f>
        <v>г. Кириллов, ул. Ленина, д.91</v>
      </c>
      <c r="C74" s="26" t="str">
        <f>"2012"</f>
        <v>2012</v>
      </c>
      <c r="D74" s="27" t="str">
        <f>""</f>
        <v/>
      </c>
      <c r="E74" s="27" t="str">
        <f>"1,00"</f>
        <v>1,00</v>
      </c>
      <c r="F74" s="27" t="str">
        <f>"2036-2038"</f>
        <v>2036-2038</v>
      </c>
      <c r="G74" s="27" t="str">
        <f t="shared" si="68"/>
        <v>да</v>
      </c>
      <c r="H74" s="27" t="str">
        <f>"2012"</f>
        <v>2012</v>
      </c>
      <c r="I74" s="27" t="str">
        <f>"6,00"</f>
        <v>6,00</v>
      </c>
      <c r="J74" s="27" t="str">
        <f>"2028-2030"</f>
        <v>2028-2030</v>
      </c>
      <c r="K74" s="27" t="str">
        <f>"нет"</f>
        <v>нет</v>
      </c>
      <c r="L74" s="27" t="str">
        <f>""</f>
        <v/>
      </c>
      <c r="M74" s="27" t="str">
        <f>""</f>
        <v/>
      </c>
      <c r="N74" s="27" t="str">
        <f>""</f>
        <v/>
      </c>
      <c r="O74" s="28" t="str">
        <f>"х"</f>
        <v>х</v>
      </c>
      <c r="P74" s="27" t="str">
        <f>"1,00"</f>
        <v>1,00</v>
      </c>
      <c r="Q74" s="27" t="str">
        <f>"2039-2041"</f>
        <v>2039-2041</v>
      </c>
      <c r="R74" s="27" t="str">
        <f>"да"</f>
        <v>да</v>
      </c>
      <c r="S74" s="27" t="str">
        <f>"2012"</f>
        <v>2012</v>
      </c>
      <c r="T74" s="27" t="str">
        <f>"6,00"</f>
        <v>6,00</v>
      </c>
      <c r="U74" s="27" t="str">
        <f>"2028-2030"</f>
        <v>2028-2030</v>
      </c>
      <c r="V74" s="27" t="str">
        <f>"нет"</f>
        <v>нет</v>
      </c>
      <c r="W74" s="27" t="str">
        <f>"х"</f>
        <v>х</v>
      </c>
      <c r="X74" s="27" t="str">
        <f>"х"</f>
        <v>х</v>
      </c>
      <c r="Y74" s="29" t="str">
        <f>"х"</f>
        <v>х</v>
      </c>
      <c r="Z74" s="27" t="str">
        <f t="shared" si="62"/>
        <v>х</v>
      </c>
      <c r="AA74" s="27" t="str">
        <f t="shared" si="62"/>
        <v>х</v>
      </c>
      <c r="AB74" s="27" t="str">
        <f t="shared" si="62"/>
        <v>х</v>
      </c>
      <c r="AC74" s="27" t="str">
        <f t="shared" si="72"/>
        <v>нет</v>
      </c>
      <c r="AD74" s="27" t="str">
        <f t="shared" si="63"/>
        <v>х</v>
      </c>
      <c r="AE74" s="27" t="str">
        <f t="shared" si="63"/>
        <v>х</v>
      </c>
      <c r="AF74" s="27" t="str">
        <f t="shared" si="63"/>
        <v>х</v>
      </c>
      <c r="AG74" s="27" t="str">
        <f t="shared" si="73"/>
        <v>нет</v>
      </c>
      <c r="AH74" s="27" t="str">
        <f t="shared" si="64"/>
        <v>х</v>
      </c>
      <c r="AI74" s="27" t="str">
        <f t="shared" si="64"/>
        <v>х</v>
      </c>
      <c r="AJ74" s="27" t="str">
        <f t="shared" si="64"/>
        <v>х</v>
      </c>
      <c r="AK74" s="28" t="str">
        <f>"х"</f>
        <v>х</v>
      </c>
      <c r="AL74" s="27" t="str">
        <f>"1,00"</f>
        <v>1,00</v>
      </c>
      <c r="AM74" s="27" t="str">
        <f>"2042-2044"</f>
        <v>2042-2044</v>
      </c>
      <c r="AN74" s="30" t="str">
        <f>"да"</f>
        <v>да</v>
      </c>
      <c r="AO74" s="27" t="str">
        <f>"2012"</f>
        <v>2012</v>
      </c>
      <c r="AP74" s="27" t="str">
        <f>"40,00"</f>
        <v>40,00</v>
      </c>
      <c r="AQ74" s="27" t="str">
        <f>"2018-2020"</f>
        <v>2018-2020</v>
      </c>
      <c r="AR74" s="27" t="str">
        <f t="shared" si="69"/>
        <v>нет</v>
      </c>
      <c r="AS74" s="27" t="str">
        <f>"х"</f>
        <v>х</v>
      </c>
      <c r="AT74" s="27" t="str">
        <f>"х"</f>
        <v>х</v>
      </c>
      <c r="AU74" s="27" t="str">
        <f>"х"</f>
        <v>х</v>
      </c>
      <c r="AV74" s="27" t="str">
        <f>"х"</f>
        <v>х</v>
      </c>
      <c r="AW74" s="27" t="str">
        <f>"1,00"</f>
        <v>1,00</v>
      </c>
      <c r="AX74" s="27" t="str">
        <f>"2045-2047"</f>
        <v>2045-2047</v>
      </c>
      <c r="AY74" s="27" t="str">
        <f t="shared" si="70"/>
        <v>нет</v>
      </c>
      <c r="AZ74" s="27" t="str">
        <f>"х"</f>
        <v>х</v>
      </c>
      <c r="BA74" s="27" t="str">
        <f>"х"</f>
        <v>х</v>
      </c>
      <c r="BB74" s="27" t="str">
        <f>"х"</f>
        <v>х</v>
      </c>
      <c r="BC74" s="27" t="str">
        <f t="shared" si="71"/>
        <v>нет</v>
      </c>
      <c r="BD74" s="27" t="str">
        <f>"х"</f>
        <v>х</v>
      </c>
      <c r="BE74" s="27" t="str">
        <f>"х"</f>
        <v>х</v>
      </c>
      <c r="BF74" s="27" t="str">
        <f>"х"</f>
        <v>х</v>
      </c>
      <c r="BG74" s="27" t="str">
        <f>""</f>
        <v/>
      </c>
      <c r="BH74" s="27" t="str">
        <f>"1,00"</f>
        <v>1,00</v>
      </c>
      <c r="BI74" s="27" t="str">
        <f>"2032-2034"</f>
        <v>2032-2034</v>
      </c>
      <c r="BJ74" s="27" t="str">
        <f t="shared" si="53"/>
        <v>нет</v>
      </c>
      <c r="BK74" s="27" t="str">
        <f t="shared" si="74"/>
        <v>x</v>
      </c>
      <c r="BL74" s="27" t="str">
        <f>"1,00"</f>
        <v>1,00</v>
      </c>
      <c r="BM74" s="27" t="str">
        <f>"2045-2047"</f>
        <v>2045-2047</v>
      </c>
      <c r="BN74" s="27" t="str">
        <f>""</f>
        <v/>
      </c>
      <c r="BO74" s="27" t="str">
        <f>"1,00"</f>
        <v>1,00</v>
      </c>
      <c r="BP74" s="27" t="str">
        <f>"2042-2044"</f>
        <v>2042-2044</v>
      </c>
      <c r="BQ74" s="27" t="str">
        <f>""</f>
        <v/>
      </c>
      <c r="BR74" s="27" t="str">
        <f>"1,00"</f>
        <v>1,00</v>
      </c>
      <c r="BS74" s="27" t="str">
        <f>"2045-2047"</f>
        <v>2045-2047</v>
      </c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  <c r="CH74" s="11"/>
      <c r="CI74" s="11"/>
      <c r="CJ74" s="11"/>
      <c r="CK74" s="11"/>
      <c r="CL74" s="11"/>
      <c r="CM74" s="11"/>
      <c r="CN74" s="11"/>
      <c r="CO74" s="11"/>
      <c r="CP74" s="11"/>
      <c r="CQ74" s="11"/>
      <c r="CR74" s="11"/>
      <c r="CS74" s="11"/>
      <c r="CT74" s="11"/>
      <c r="CU74" s="11"/>
      <c r="CV74" s="11"/>
      <c r="CW74" s="11"/>
      <c r="CX74" s="11"/>
      <c r="CY74" s="11"/>
      <c r="CZ74" s="11"/>
      <c r="DA74" s="11"/>
      <c r="DB74" s="11"/>
      <c r="DC74" s="11"/>
      <c r="DD74" s="11"/>
      <c r="DE74" s="11"/>
      <c r="DF74" s="11"/>
      <c r="DG74" s="11"/>
      <c r="DH74" s="11"/>
      <c r="DI74" s="11"/>
      <c r="DJ74" s="11"/>
      <c r="DK74" s="11"/>
      <c r="DL74" s="11"/>
      <c r="DM74" s="11"/>
      <c r="DN74" s="11"/>
      <c r="DO74" s="11"/>
    </row>
    <row r="75" spans="1:119" s="9" customFormat="1" ht="11.25" customHeight="1">
      <c r="A75" s="24" t="str">
        <f>"1.62"</f>
        <v>1.62</v>
      </c>
      <c r="B75" s="25" t="str">
        <f>"г. Кириллов, ул. Ленина, д.93"</f>
        <v>г. Кириллов, ул. Ленина, д.93</v>
      </c>
      <c r="C75" s="26" t="str">
        <f>"2012"</f>
        <v>2012</v>
      </c>
      <c r="D75" s="27" t="str">
        <f>""</f>
        <v/>
      </c>
      <c r="E75" s="27" t="str">
        <f>"1,00"</f>
        <v>1,00</v>
      </c>
      <c r="F75" s="27" t="str">
        <f>"2036-2038"</f>
        <v>2036-2038</v>
      </c>
      <c r="G75" s="27" t="str">
        <f t="shared" si="68"/>
        <v>да</v>
      </c>
      <c r="H75" s="27" t="str">
        <f>"2012"</f>
        <v>2012</v>
      </c>
      <c r="I75" s="27" t="str">
        <f>"6,00"</f>
        <v>6,00</v>
      </c>
      <c r="J75" s="27" t="str">
        <f>"2028-2030"</f>
        <v>2028-2030</v>
      </c>
      <c r="K75" s="27" t="str">
        <f>""</f>
        <v/>
      </c>
      <c r="L75" s="27" t="str">
        <f>""</f>
        <v/>
      </c>
      <c r="M75" s="27" t="str">
        <f>""</f>
        <v/>
      </c>
      <c r="N75" s="27" t="str">
        <f>""</f>
        <v/>
      </c>
      <c r="O75" s="28" t="str">
        <f>""</f>
        <v/>
      </c>
      <c r="P75" s="27" t="str">
        <f>"1,00"</f>
        <v>1,00</v>
      </c>
      <c r="Q75" s="27" t="str">
        <f>"2039-2041"</f>
        <v>2039-2041</v>
      </c>
      <c r="R75" s="27" t="str">
        <f>"да"</f>
        <v>да</v>
      </c>
      <c r="S75" s="27" t="str">
        <f>"2012"</f>
        <v>2012</v>
      </c>
      <c r="T75" s="27" t="str">
        <f>"6,00"</f>
        <v>6,00</v>
      </c>
      <c r="U75" s="27" t="str">
        <f>"2028-2030"</f>
        <v>2028-2030</v>
      </c>
      <c r="V75" s="27" t="str">
        <f>""</f>
        <v/>
      </c>
      <c r="W75" s="27" t="str">
        <f>""</f>
        <v/>
      </c>
      <c r="X75" s="27" t="str">
        <f>""</f>
        <v/>
      </c>
      <c r="Y75" s="29" t="str">
        <f>""</f>
        <v/>
      </c>
      <c r="Z75" s="27" t="str">
        <f>""</f>
        <v/>
      </c>
      <c r="AA75" s="27" t="str">
        <f>""</f>
        <v/>
      </c>
      <c r="AB75" s="27" t="str">
        <f>""</f>
        <v/>
      </c>
      <c r="AC75" s="27" t="str">
        <f t="shared" si="72"/>
        <v>нет</v>
      </c>
      <c r="AD75" s="27" t="str">
        <f>""</f>
        <v/>
      </c>
      <c r="AE75" s="27" t="str">
        <f>""</f>
        <v/>
      </c>
      <c r="AF75" s="27" t="str">
        <f>""</f>
        <v/>
      </c>
      <c r="AG75" s="27" t="str">
        <f t="shared" si="73"/>
        <v>нет</v>
      </c>
      <c r="AH75" s="27" t="str">
        <f>""</f>
        <v/>
      </c>
      <c r="AI75" s="27" t="str">
        <f>""</f>
        <v/>
      </c>
      <c r="AJ75" s="27" t="str">
        <f>""</f>
        <v/>
      </c>
      <c r="AK75" s="28" t="str">
        <f>""</f>
        <v/>
      </c>
      <c r="AL75" s="27" t="str">
        <f>"1,00"</f>
        <v>1,00</v>
      </c>
      <c r="AM75" s="27" t="str">
        <f>"2042-2044"</f>
        <v>2042-2044</v>
      </c>
      <c r="AN75" s="30" t="str">
        <f>"да"</f>
        <v>да</v>
      </c>
      <c r="AO75" s="27" t="str">
        <f>"2012"</f>
        <v>2012</v>
      </c>
      <c r="AP75" s="27" t="str">
        <f>"40,00"</f>
        <v>40,00</v>
      </c>
      <c r="AQ75" s="27" t="str">
        <f>"2018-2020"</f>
        <v>2018-2020</v>
      </c>
      <c r="AR75" s="27" t="str">
        <f t="shared" si="69"/>
        <v>нет</v>
      </c>
      <c r="AS75" s="27" t="str">
        <f>""</f>
        <v/>
      </c>
      <c r="AT75" s="27" t="str">
        <f>""</f>
        <v/>
      </c>
      <c r="AU75" s="27" t="str">
        <f>""</f>
        <v/>
      </c>
      <c r="AV75" s="27" t="str">
        <f>""</f>
        <v/>
      </c>
      <c r="AW75" s="27" t="str">
        <f>"1,00"</f>
        <v>1,00</v>
      </c>
      <c r="AX75" s="27" t="str">
        <f>"2045-2047"</f>
        <v>2045-2047</v>
      </c>
      <c r="AY75" s="27" t="str">
        <f t="shared" si="70"/>
        <v>нет</v>
      </c>
      <c r="AZ75" s="27" t="str">
        <f>""</f>
        <v/>
      </c>
      <c r="BA75" s="27" t="str">
        <f>""</f>
        <v/>
      </c>
      <c r="BB75" s="27" t="str">
        <f>""</f>
        <v/>
      </c>
      <c r="BC75" s="27" t="str">
        <f t="shared" si="71"/>
        <v>нет</v>
      </c>
      <c r="BD75" s="27" t="str">
        <f>""</f>
        <v/>
      </c>
      <c r="BE75" s="27" t="str">
        <f>""</f>
        <v/>
      </c>
      <c r="BF75" s="27" t="str">
        <f>""</f>
        <v/>
      </c>
      <c r="BG75" s="27" t="str">
        <f>""</f>
        <v/>
      </c>
      <c r="BH75" s="27" t="str">
        <f>"2,00"</f>
        <v>2,00</v>
      </c>
      <c r="BI75" s="27" t="str">
        <f>"2032-2034"</f>
        <v>2032-2034</v>
      </c>
      <c r="BJ75" s="27" t="str">
        <f t="shared" si="53"/>
        <v>нет</v>
      </c>
      <c r="BK75" s="27" t="str">
        <f t="shared" si="74"/>
        <v>x</v>
      </c>
      <c r="BL75" s="27" t="str">
        <f>"2,00"</f>
        <v>2,00</v>
      </c>
      <c r="BM75" s="27" t="str">
        <f>"2045-2047"</f>
        <v>2045-2047</v>
      </c>
      <c r="BN75" s="27" t="str">
        <f>""</f>
        <v/>
      </c>
      <c r="BO75" s="27" t="str">
        <f>"2,00"</f>
        <v>2,00</v>
      </c>
      <c r="BP75" s="27" t="str">
        <f>"2042-2044"</f>
        <v>2042-2044</v>
      </c>
      <c r="BQ75" s="27" t="str">
        <f>""</f>
        <v/>
      </c>
      <c r="BR75" s="27" t="str">
        <f>"2,00"</f>
        <v>2,00</v>
      </c>
      <c r="BS75" s="27" t="str">
        <f>"2045-2047"</f>
        <v>2045-2047</v>
      </c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/>
      <c r="CF75" s="11"/>
      <c r="CG75" s="11"/>
      <c r="CH75" s="11"/>
      <c r="CI75" s="11"/>
      <c r="CJ75" s="11"/>
      <c r="CK75" s="11"/>
      <c r="CL75" s="11"/>
      <c r="CM75" s="11"/>
      <c r="CN75" s="11"/>
      <c r="CO75" s="11"/>
      <c r="CP75" s="11"/>
      <c r="CQ75" s="11"/>
      <c r="CR75" s="11"/>
      <c r="CS75" s="11"/>
      <c r="CT75" s="11"/>
      <c r="CU75" s="11"/>
      <c r="CV75" s="11"/>
      <c r="CW75" s="11"/>
      <c r="CX75" s="11"/>
      <c r="CY75" s="11"/>
      <c r="CZ75" s="11"/>
      <c r="DA75" s="11"/>
      <c r="DB75" s="11"/>
      <c r="DC75" s="11"/>
      <c r="DD75" s="11"/>
      <c r="DE75" s="11"/>
      <c r="DF75" s="11"/>
      <c r="DG75" s="11"/>
      <c r="DH75" s="11"/>
      <c r="DI75" s="11"/>
      <c r="DJ75" s="11"/>
      <c r="DK75" s="11"/>
      <c r="DL75" s="11"/>
      <c r="DM75" s="11"/>
      <c r="DN75" s="11"/>
      <c r="DO75" s="11"/>
    </row>
    <row r="76" spans="1:119" s="9" customFormat="1" ht="11.25" customHeight="1">
      <c r="A76" s="24" t="str">
        <f>"1.63"</f>
        <v>1.63</v>
      </c>
      <c r="B76" s="25" t="str">
        <f>"г. Кириллов, ул. Ленина, д.94"</f>
        <v>г. Кириллов, ул. Ленина, д.94</v>
      </c>
      <c r="C76" s="26" t="str">
        <f>"1990"</f>
        <v>1990</v>
      </c>
      <c r="D76" s="27" t="str">
        <f>"2000"</f>
        <v>2000</v>
      </c>
      <c r="E76" s="27" t="str">
        <f>"10,00"</f>
        <v>10,00</v>
      </c>
      <c r="F76" s="27" t="str">
        <f>"2027-2029"</f>
        <v>2027-2029</v>
      </c>
      <c r="G76" s="27" t="str">
        <f t="shared" si="68"/>
        <v>да</v>
      </c>
      <c r="H76" s="27" t="str">
        <f>"2011"</f>
        <v>2011</v>
      </c>
      <c r="I76" s="27" t="str">
        <f>"13,00"</f>
        <v>13,00</v>
      </c>
      <c r="J76" s="27" t="str">
        <f>"2027-2029"</f>
        <v>2027-2029</v>
      </c>
      <c r="K76" s="27" t="str">
        <f t="shared" ref="K76:K107" si="75">"нет"</f>
        <v>нет</v>
      </c>
      <c r="L76" s="27" t="str">
        <f>""</f>
        <v/>
      </c>
      <c r="M76" s="27" t="str">
        <f>""</f>
        <v/>
      </c>
      <c r="N76" s="27" t="str">
        <f>""</f>
        <v/>
      </c>
      <c r="O76" s="28" t="str">
        <f>""</f>
        <v/>
      </c>
      <c r="P76" s="27" t="str">
        <f>""</f>
        <v/>
      </c>
      <c r="Q76" s="27" t="str">
        <f>""</f>
        <v/>
      </c>
      <c r="R76" s="27" t="str">
        <f>"нет"</f>
        <v>нет</v>
      </c>
      <c r="S76" s="27" t="str">
        <f>""</f>
        <v/>
      </c>
      <c r="T76" s="27" t="str">
        <f>""</f>
        <v/>
      </c>
      <c r="U76" s="27" t="str">
        <f>""</f>
        <v/>
      </c>
      <c r="V76" s="27" t="str">
        <f t="shared" ref="V76:V107" si="76">"нет"</f>
        <v>нет</v>
      </c>
      <c r="W76" s="27" t="str">
        <f>""</f>
        <v/>
      </c>
      <c r="X76" s="27" t="str">
        <f>""</f>
        <v/>
      </c>
      <c r="Y76" s="29" t="str">
        <f>""</f>
        <v/>
      </c>
      <c r="Z76" s="27" t="str">
        <f t="shared" ref="Z76:AB77" si="77">"х"</f>
        <v>х</v>
      </c>
      <c r="AA76" s="27" t="str">
        <f t="shared" si="77"/>
        <v>х</v>
      </c>
      <c r="AB76" s="27" t="str">
        <f t="shared" si="77"/>
        <v>х</v>
      </c>
      <c r="AC76" s="27" t="str">
        <f t="shared" si="72"/>
        <v>нет</v>
      </c>
      <c r="AD76" s="27" t="str">
        <f t="shared" ref="AD76:AF95" si="78">"х"</f>
        <v>х</v>
      </c>
      <c r="AE76" s="27" t="str">
        <f t="shared" si="78"/>
        <v>х</v>
      </c>
      <c r="AF76" s="27" t="str">
        <f t="shared" si="78"/>
        <v>х</v>
      </c>
      <c r="AG76" s="27" t="str">
        <f t="shared" si="73"/>
        <v>нет</v>
      </c>
      <c r="AH76" s="27" t="str">
        <f t="shared" ref="AH76:AJ95" si="79">"х"</f>
        <v>х</v>
      </c>
      <c r="AI76" s="27" t="str">
        <f t="shared" si="79"/>
        <v>х</v>
      </c>
      <c r="AJ76" s="27" t="str">
        <f t="shared" si="79"/>
        <v>х</v>
      </c>
      <c r="AK76" s="28" t="str">
        <f>"2004"</f>
        <v>2004</v>
      </c>
      <c r="AL76" s="27" t="str">
        <f>"36,00"</f>
        <v>36,00</v>
      </c>
      <c r="AM76" s="27" t="str">
        <f>"2034-2036"</f>
        <v>2034-2036</v>
      </c>
      <c r="AN76" s="30" t="str">
        <f>"нет"</f>
        <v>нет</v>
      </c>
      <c r="AO76" s="27" t="str">
        <f>""</f>
        <v/>
      </c>
      <c r="AP76" s="27" t="str">
        <f>""</f>
        <v/>
      </c>
      <c r="AQ76" s="27" t="str">
        <f>""</f>
        <v/>
      </c>
      <c r="AR76" s="27" t="str">
        <f t="shared" si="69"/>
        <v>нет</v>
      </c>
      <c r="AS76" s="27" t="str">
        <f>""</f>
        <v/>
      </c>
      <c r="AT76" s="27" t="str">
        <f>""</f>
        <v/>
      </c>
      <c r="AU76" s="27" t="str">
        <f>""</f>
        <v/>
      </c>
      <c r="AV76" s="27" t="str">
        <f>""</f>
        <v/>
      </c>
      <c r="AW76" s="27" t="str">
        <f>"46,00"</f>
        <v>46,00</v>
      </c>
      <c r="AX76" s="27" t="str">
        <f>"2030-2032"</f>
        <v>2030-2032</v>
      </c>
      <c r="AY76" s="27" t="str">
        <f t="shared" si="70"/>
        <v>нет</v>
      </c>
      <c r="AZ76" s="27" t="str">
        <f>""</f>
        <v/>
      </c>
      <c r="BA76" s="27" t="str">
        <f>""</f>
        <v/>
      </c>
      <c r="BB76" s="27" t="str">
        <f>""</f>
        <v/>
      </c>
      <c r="BC76" s="27" t="str">
        <f t="shared" si="71"/>
        <v>нет</v>
      </c>
      <c r="BD76" s="27" t="str">
        <f>""</f>
        <v/>
      </c>
      <c r="BE76" s="27" t="str">
        <f>""</f>
        <v/>
      </c>
      <c r="BF76" s="27" t="str">
        <f>""</f>
        <v/>
      </c>
      <c r="BG76" s="27" t="str">
        <f>""</f>
        <v/>
      </c>
      <c r="BH76" s="27" t="str">
        <f>"57,00"</f>
        <v>57,00</v>
      </c>
      <c r="BI76" s="27" t="str">
        <f>"2040-2042"</f>
        <v>2040-2042</v>
      </c>
      <c r="BJ76" s="27" t="str">
        <f t="shared" si="53"/>
        <v>нет</v>
      </c>
      <c r="BK76" s="27" t="str">
        <f t="shared" si="74"/>
        <v>x</v>
      </c>
      <c r="BL76" s="27" t="str">
        <f>"46,00"</f>
        <v>46,00</v>
      </c>
      <c r="BM76" s="27" t="str">
        <f>"2031-2033"</f>
        <v>2031-2033</v>
      </c>
      <c r="BN76" s="27" t="str">
        <f>""</f>
        <v/>
      </c>
      <c r="BO76" s="27" t="str">
        <f>"55,00"</f>
        <v>55,00</v>
      </c>
      <c r="BP76" s="27" t="str">
        <f>"2020-2022"</f>
        <v>2020-2022</v>
      </c>
      <c r="BQ76" s="27" t="str">
        <f>""</f>
        <v/>
      </c>
      <c r="BR76" s="27" t="str">
        <f>"46,00"</f>
        <v>46,00</v>
      </c>
      <c r="BS76" s="27" t="str">
        <f>"2031-2033"</f>
        <v>2031-2033</v>
      </c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11"/>
      <c r="CH76" s="11"/>
      <c r="CI76" s="11"/>
      <c r="CJ76" s="11"/>
      <c r="CK76" s="11"/>
      <c r="CL76" s="11"/>
      <c r="CM76" s="11"/>
      <c r="CN76" s="11"/>
      <c r="CO76" s="11"/>
      <c r="CP76" s="11"/>
      <c r="CQ76" s="11"/>
      <c r="CR76" s="11"/>
      <c r="CS76" s="11"/>
      <c r="CT76" s="11"/>
      <c r="CU76" s="11"/>
      <c r="CV76" s="11"/>
      <c r="CW76" s="11"/>
      <c r="CX76" s="11"/>
      <c r="CY76" s="11"/>
      <c r="CZ76" s="11"/>
      <c r="DA76" s="11"/>
      <c r="DB76" s="11"/>
      <c r="DC76" s="11"/>
      <c r="DD76" s="11"/>
      <c r="DE76" s="11"/>
      <c r="DF76" s="11"/>
      <c r="DG76" s="11"/>
      <c r="DH76" s="11"/>
      <c r="DI76" s="11"/>
      <c r="DJ76" s="11"/>
      <c r="DK76" s="11"/>
      <c r="DL76" s="11"/>
      <c r="DM76" s="11"/>
      <c r="DN76" s="11"/>
      <c r="DO76" s="11"/>
    </row>
    <row r="77" spans="1:119" s="10" customFormat="1" ht="11.25" customHeight="1">
      <c r="A77" s="24" t="str">
        <f>"1.64"</f>
        <v>1.64</v>
      </c>
      <c r="B77" s="25" t="str">
        <f>"г. Кириллов, ул. Ленина, д.96"</f>
        <v>г. Кириллов, ул. Ленина, д.96</v>
      </c>
      <c r="C77" s="26" t="str">
        <f>"1988"</f>
        <v>1988</v>
      </c>
      <c r="D77" s="27" t="str">
        <f>""</f>
        <v/>
      </c>
      <c r="E77" s="27" t="str">
        <f>"90,00"</f>
        <v>90,00</v>
      </c>
      <c r="F77" s="27" t="str">
        <f>"2026-2028"</f>
        <v>2026-2028</v>
      </c>
      <c r="G77" s="27" t="str">
        <f t="shared" si="68"/>
        <v>да</v>
      </c>
      <c r="H77" s="27" t="str">
        <f>"2012"</f>
        <v>2012</v>
      </c>
      <c r="I77" s="27" t="str">
        <f>"6,00"</f>
        <v>6,00</v>
      </c>
      <c r="J77" s="27" t="str">
        <f>"2028-2030"</f>
        <v>2028-2030</v>
      </c>
      <c r="K77" s="27" t="str">
        <f t="shared" si="75"/>
        <v>нет</v>
      </c>
      <c r="L77" s="27" t="str">
        <f>""</f>
        <v/>
      </c>
      <c r="M77" s="27" t="str">
        <f>""</f>
        <v/>
      </c>
      <c r="N77" s="27" t="str">
        <f>""</f>
        <v/>
      </c>
      <c r="O77" s="28" t="str">
        <f>""</f>
        <v/>
      </c>
      <c r="P77" s="27" t="str">
        <f>""</f>
        <v/>
      </c>
      <c r="Q77" s="27" t="str">
        <f>""</f>
        <v/>
      </c>
      <c r="R77" s="27" t="str">
        <f>"нет"</f>
        <v>нет</v>
      </c>
      <c r="S77" s="27" t="str">
        <f>""</f>
        <v/>
      </c>
      <c r="T77" s="27" t="str">
        <f>""</f>
        <v/>
      </c>
      <c r="U77" s="27" t="str">
        <f>""</f>
        <v/>
      </c>
      <c r="V77" s="27" t="str">
        <f t="shared" si="76"/>
        <v>нет</v>
      </c>
      <c r="W77" s="27" t="str">
        <f>""</f>
        <v/>
      </c>
      <c r="X77" s="27" t="str">
        <f>""</f>
        <v/>
      </c>
      <c r="Y77" s="29" t="str">
        <f>""</f>
        <v/>
      </c>
      <c r="Z77" s="27" t="str">
        <f t="shared" si="77"/>
        <v>х</v>
      </c>
      <c r="AA77" s="27" t="str">
        <f t="shared" si="77"/>
        <v>х</v>
      </c>
      <c r="AB77" s="27" t="str">
        <f t="shared" si="77"/>
        <v>х</v>
      </c>
      <c r="AC77" s="27" t="str">
        <f t="shared" si="72"/>
        <v>нет</v>
      </c>
      <c r="AD77" s="27" t="str">
        <f t="shared" si="78"/>
        <v>х</v>
      </c>
      <c r="AE77" s="27" t="str">
        <f t="shared" si="78"/>
        <v>х</v>
      </c>
      <c r="AF77" s="27" t="str">
        <f t="shared" si="78"/>
        <v>х</v>
      </c>
      <c r="AG77" s="27" t="str">
        <f t="shared" si="73"/>
        <v>нет</v>
      </c>
      <c r="AH77" s="27" t="str">
        <f t="shared" si="79"/>
        <v>х</v>
      </c>
      <c r="AI77" s="27" t="str">
        <f t="shared" si="79"/>
        <v>х</v>
      </c>
      <c r="AJ77" s="27" t="str">
        <f t="shared" si="79"/>
        <v>х</v>
      </c>
      <c r="AK77" s="28" t="str">
        <f>"1998"</f>
        <v>1998</v>
      </c>
      <c r="AL77" s="27" t="str">
        <f>"50,00"</f>
        <v>50,00</v>
      </c>
      <c r="AM77" s="27" t="str">
        <f>"2031-2033"</f>
        <v>2031-2033</v>
      </c>
      <c r="AN77" s="30" t="str">
        <f>"нет"</f>
        <v>нет</v>
      </c>
      <c r="AO77" s="27" t="str">
        <f>""</f>
        <v/>
      </c>
      <c r="AP77" s="27" t="str">
        <f>""</f>
        <v/>
      </c>
      <c r="AQ77" s="27" t="str">
        <f>""</f>
        <v/>
      </c>
      <c r="AR77" s="27" t="str">
        <f t="shared" si="69"/>
        <v>нет</v>
      </c>
      <c r="AS77" s="27" t="str">
        <f>""</f>
        <v/>
      </c>
      <c r="AT77" s="27" t="str">
        <f>""</f>
        <v/>
      </c>
      <c r="AU77" s="27" t="str">
        <f>""</f>
        <v/>
      </c>
      <c r="AV77" s="27" t="str">
        <f>""</f>
        <v/>
      </c>
      <c r="AW77" s="27" t="str">
        <f>"50,00"</f>
        <v>50,00</v>
      </c>
      <c r="AX77" s="27" t="str">
        <f>"2018-2020"</f>
        <v>2018-2020</v>
      </c>
      <c r="AY77" s="27" t="str">
        <f t="shared" si="70"/>
        <v>нет</v>
      </c>
      <c r="AZ77" s="27" t="str">
        <f>""</f>
        <v/>
      </c>
      <c r="BA77" s="27" t="str">
        <f>""</f>
        <v/>
      </c>
      <c r="BB77" s="27" t="str">
        <f>""</f>
        <v/>
      </c>
      <c r="BC77" s="27" t="str">
        <f t="shared" si="71"/>
        <v>нет</v>
      </c>
      <c r="BD77" s="27" t="str">
        <f>""</f>
        <v/>
      </c>
      <c r="BE77" s="27" t="str">
        <f>""</f>
        <v/>
      </c>
      <c r="BF77" s="27" t="str">
        <f>""</f>
        <v/>
      </c>
      <c r="BG77" s="27" t="str">
        <f>""</f>
        <v/>
      </c>
      <c r="BH77" s="27" t="str">
        <f>"62,00"</f>
        <v>62,00</v>
      </c>
      <c r="BI77" s="27" t="str">
        <f>"2023-2025"</f>
        <v>2023-2025</v>
      </c>
      <c r="BJ77" s="27" t="str">
        <f t="shared" si="53"/>
        <v>нет</v>
      </c>
      <c r="BK77" s="27" t="str">
        <f t="shared" si="74"/>
        <v>x</v>
      </c>
      <c r="BL77" s="27" t="str">
        <f>"50,00"</f>
        <v>50,00</v>
      </c>
      <c r="BM77" s="27" t="str">
        <f>"2017-2019"</f>
        <v>2017-2019</v>
      </c>
      <c r="BN77" s="27" t="str">
        <f>""</f>
        <v/>
      </c>
      <c r="BO77" s="27" t="str">
        <f>"60,00"</f>
        <v>60,00</v>
      </c>
      <c r="BP77" s="27" t="str">
        <f>"2022-2024"</f>
        <v>2022-2024</v>
      </c>
      <c r="BQ77" s="27" t="str">
        <f>""</f>
        <v/>
      </c>
      <c r="BR77" s="27" t="str">
        <f>"50,00"</f>
        <v>50,00</v>
      </c>
      <c r="BS77" s="27" t="str">
        <f>"2017-2019"</f>
        <v>2017-2019</v>
      </c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/>
      <c r="CF77" s="11"/>
      <c r="CG77" s="11"/>
      <c r="CH77" s="11"/>
      <c r="CI77" s="11"/>
      <c r="CJ77" s="11"/>
      <c r="CK77" s="11"/>
      <c r="CL77" s="11"/>
      <c r="CM77" s="11"/>
      <c r="CN77" s="11"/>
      <c r="CO77" s="11"/>
      <c r="CP77" s="11"/>
      <c r="CQ77" s="11"/>
      <c r="CR77" s="11"/>
      <c r="CS77" s="11"/>
      <c r="CT77" s="11"/>
      <c r="CU77" s="11"/>
      <c r="CV77" s="11"/>
      <c r="CW77" s="11"/>
      <c r="CX77" s="11"/>
      <c r="CY77" s="11"/>
      <c r="CZ77" s="11"/>
      <c r="DA77" s="11"/>
      <c r="DB77" s="11"/>
      <c r="DC77" s="11"/>
      <c r="DD77" s="11"/>
      <c r="DE77" s="11"/>
      <c r="DF77" s="11"/>
      <c r="DG77" s="11"/>
      <c r="DH77" s="11"/>
      <c r="DI77" s="11"/>
      <c r="DJ77" s="11"/>
      <c r="DK77" s="11"/>
      <c r="DL77" s="11"/>
      <c r="DM77" s="11"/>
      <c r="DN77" s="11"/>
      <c r="DO77" s="11"/>
    </row>
    <row r="78" spans="1:119" s="10" customFormat="1" ht="11.25" customHeight="1">
      <c r="A78" s="24" t="str">
        <f>"1.65"</f>
        <v>1.65</v>
      </c>
      <c r="B78" s="25" t="str">
        <f>"г. Кириллов, ул. Механизаторов, д.6"</f>
        <v>г. Кириллов, ул. Механизаторов, д.6</v>
      </c>
      <c r="C78" s="26" t="str">
        <f>"2001"</f>
        <v>2001</v>
      </c>
      <c r="D78" s="27" t="str">
        <f>""</f>
        <v/>
      </c>
      <c r="E78" s="27" t="str">
        <f>"48,00"</f>
        <v>48,00</v>
      </c>
      <c r="F78" s="27" t="str">
        <f>"2037-2039"</f>
        <v>2037-2039</v>
      </c>
      <c r="G78" s="27" t="str">
        <f t="shared" si="68"/>
        <v>да</v>
      </c>
      <c r="H78" s="27" t="str">
        <f>"2011"</f>
        <v>2011</v>
      </c>
      <c r="I78" s="27" t="str">
        <f>"13,00"</f>
        <v>13,00</v>
      </c>
      <c r="J78" s="27" t="str">
        <f>"2027-2029"</f>
        <v>2027-2029</v>
      </c>
      <c r="K78" s="27" t="str">
        <f t="shared" si="75"/>
        <v>нет</v>
      </c>
      <c r="L78" s="27" t="str">
        <f>""</f>
        <v/>
      </c>
      <c r="M78" s="27" t="str">
        <f>""</f>
        <v/>
      </c>
      <c r="N78" s="27" t="str">
        <f>""</f>
        <v/>
      </c>
      <c r="O78" s="28" t="str">
        <f>""</f>
        <v/>
      </c>
      <c r="P78" s="27" t="str">
        <f>"30,00"</f>
        <v>30,00</v>
      </c>
      <c r="Q78" s="27" t="str">
        <f>"2035-2037"</f>
        <v>2035-2037</v>
      </c>
      <c r="R78" s="27" t="str">
        <f>"да"</f>
        <v>да</v>
      </c>
      <c r="S78" s="27" t="str">
        <f>"2009"</f>
        <v>2009</v>
      </c>
      <c r="T78" s="27" t="str">
        <f>"24,00"</f>
        <v>24,00</v>
      </c>
      <c r="U78" s="27" t="str">
        <f>"2025-2027"</f>
        <v>2025-2027</v>
      </c>
      <c r="V78" s="27" t="str">
        <f t="shared" si="76"/>
        <v>нет</v>
      </c>
      <c r="W78" s="27" t="str">
        <f>""</f>
        <v/>
      </c>
      <c r="X78" s="27" t="str">
        <f>""</f>
        <v/>
      </c>
      <c r="Y78" s="29" t="str">
        <f>""</f>
        <v/>
      </c>
      <c r="Z78" s="27" t="str">
        <f t="shared" ref="Z78:Z109" si="80">"х"</f>
        <v>х</v>
      </c>
      <c r="AA78" s="27" t="str">
        <f>"44,00"</f>
        <v>44,00</v>
      </c>
      <c r="AB78" s="27" t="str">
        <f>"2030-2032"</f>
        <v>2030-2032</v>
      </c>
      <c r="AC78" s="27" t="str">
        <f t="shared" si="72"/>
        <v>нет</v>
      </c>
      <c r="AD78" s="27" t="str">
        <f t="shared" si="78"/>
        <v>х</v>
      </c>
      <c r="AE78" s="27" t="str">
        <f t="shared" si="78"/>
        <v>х</v>
      </c>
      <c r="AF78" s="27" t="str">
        <f t="shared" si="78"/>
        <v>х</v>
      </c>
      <c r="AG78" s="27" t="str">
        <f t="shared" si="73"/>
        <v>нет</v>
      </c>
      <c r="AH78" s="27" t="str">
        <f t="shared" si="79"/>
        <v>х</v>
      </c>
      <c r="AI78" s="27" t="str">
        <f t="shared" si="79"/>
        <v>х</v>
      </c>
      <c r="AJ78" s="27" t="str">
        <f t="shared" si="79"/>
        <v>х</v>
      </c>
      <c r="AK78" s="28" t="str">
        <f>""</f>
        <v/>
      </c>
      <c r="AL78" s="27" t="str">
        <f>"40,00"</f>
        <v>40,00</v>
      </c>
      <c r="AM78" s="27" t="str">
        <f>"2031-2033"</f>
        <v>2031-2033</v>
      </c>
      <c r="AN78" s="30">
        <v>2015</v>
      </c>
      <c r="AO78" s="27" t="str">
        <f>""</f>
        <v/>
      </c>
      <c r="AP78" s="27" t="str">
        <f>""</f>
        <v/>
      </c>
      <c r="AQ78" s="27">
        <v>2030</v>
      </c>
      <c r="AR78" s="27" t="str">
        <f t="shared" si="69"/>
        <v>нет</v>
      </c>
      <c r="AS78" s="27" t="str">
        <f>""</f>
        <v/>
      </c>
      <c r="AT78" s="27" t="str">
        <f>""</f>
        <v/>
      </c>
      <c r="AU78" s="27" t="str">
        <f>""</f>
        <v/>
      </c>
      <c r="AV78" s="27" t="str">
        <f>""</f>
        <v/>
      </c>
      <c r="AW78" s="27" t="str">
        <f>"4,00"</f>
        <v>4,00</v>
      </c>
      <c r="AX78" s="27" t="str">
        <f>"2041-2043"</f>
        <v>2041-2043</v>
      </c>
      <c r="AY78" s="27" t="str">
        <f t="shared" si="70"/>
        <v>нет</v>
      </c>
      <c r="AZ78" s="27" t="str">
        <f>""</f>
        <v/>
      </c>
      <c r="BA78" s="27" t="str">
        <f>""</f>
        <v/>
      </c>
      <c r="BB78" s="27" t="str">
        <f>""</f>
        <v/>
      </c>
      <c r="BC78" s="27" t="str">
        <f t="shared" si="71"/>
        <v>нет</v>
      </c>
      <c r="BD78" s="27" t="str">
        <f>""</f>
        <v/>
      </c>
      <c r="BE78" s="27" t="str">
        <f>""</f>
        <v/>
      </c>
      <c r="BF78" s="27" t="str">
        <f>""</f>
        <v/>
      </c>
      <c r="BG78" s="27" t="str">
        <f>""</f>
        <v/>
      </c>
      <c r="BH78" s="27" t="str">
        <f>"20,00"</f>
        <v>20,00</v>
      </c>
      <c r="BI78" s="27" t="str">
        <f>"2040-2042"</f>
        <v>2040-2042</v>
      </c>
      <c r="BJ78" s="27" t="str">
        <f t="shared" ref="BJ78:BJ109" si="81">"нет"</f>
        <v>нет</v>
      </c>
      <c r="BK78" s="27" t="str">
        <f t="shared" si="74"/>
        <v>x</v>
      </c>
      <c r="BL78" s="27" t="str">
        <f>"4,00"</f>
        <v>4,00</v>
      </c>
      <c r="BM78" s="27" t="str">
        <f>"2041-2043"</f>
        <v>2041-2043</v>
      </c>
      <c r="BN78" s="27" t="str">
        <f>""</f>
        <v/>
      </c>
      <c r="BO78" s="27" t="str">
        <f>"4,00"</f>
        <v>4,00</v>
      </c>
      <c r="BP78" s="27" t="str">
        <f>"2031-2033"</f>
        <v>2031-2033</v>
      </c>
      <c r="BQ78" s="27" t="str">
        <f>""</f>
        <v/>
      </c>
      <c r="BR78" s="27" t="str">
        <f>"4,00"</f>
        <v>4,00</v>
      </c>
      <c r="BS78" s="27" t="str">
        <f>"2041-2043"</f>
        <v>2041-2043</v>
      </c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/>
      <c r="CM78" s="11"/>
      <c r="CN78" s="11"/>
      <c r="CO78" s="11"/>
      <c r="CP78" s="11"/>
      <c r="CQ78" s="11"/>
      <c r="CR78" s="11"/>
      <c r="CS78" s="11"/>
      <c r="CT78" s="11"/>
      <c r="CU78" s="11"/>
      <c r="CV78" s="11"/>
      <c r="CW78" s="11"/>
      <c r="CX78" s="11"/>
      <c r="CY78" s="11"/>
      <c r="CZ78" s="11"/>
      <c r="DA78" s="11"/>
      <c r="DB78" s="11"/>
      <c r="DC78" s="11"/>
      <c r="DD78" s="11"/>
      <c r="DE78" s="11"/>
      <c r="DF78" s="11"/>
      <c r="DG78" s="11"/>
      <c r="DH78" s="11"/>
      <c r="DI78" s="11"/>
      <c r="DJ78" s="11"/>
      <c r="DK78" s="11"/>
      <c r="DL78" s="11"/>
      <c r="DM78" s="11"/>
      <c r="DN78" s="11"/>
      <c r="DO78" s="11"/>
    </row>
    <row r="79" spans="1:119" s="10" customFormat="1" ht="11.25" customHeight="1">
      <c r="A79" s="24" t="str">
        <f>"1.66"</f>
        <v>1.66</v>
      </c>
      <c r="B79" s="25" t="str">
        <f>"г. Кириллов, ул. Мира, д.2А"</f>
        <v>г. Кириллов, ул. Мира, д.2А</v>
      </c>
      <c r="C79" s="26" t="str">
        <f>"1964"</f>
        <v>1964</v>
      </c>
      <c r="D79" s="27" t="str">
        <f>"1984"</f>
        <v>1984</v>
      </c>
      <c r="E79" s="27" t="str">
        <f>"80,00"</f>
        <v>80,00</v>
      </c>
      <c r="F79" s="27" t="str">
        <f>"2023-2025"</f>
        <v>2023-2025</v>
      </c>
      <c r="G79" s="27" t="str">
        <f t="shared" si="68"/>
        <v>да</v>
      </c>
      <c r="H79" s="27" t="str">
        <f>"2011"</f>
        <v>2011</v>
      </c>
      <c r="I79" s="27" t="str">
        <f>"13,00"</f>
        <v>13,00</v>
      </c>
      <c r="J79" s="27" t="str">
        <f>"2027-2029"</f>
        <v>2027-2029</v>
      </c>
      <c r="K79" s="27" t="str">
        <f t="shared" si="75"/>
        <v>нет</v>
      </c>
      <c r="L79" s="27" t="str">
        <f>""</f>
        <v/>
      </c>
      <c r="M79" s="27" t="str">
        <f>""</f>
        <v/>
      </c>
      <c r="N79" s="27" t="str">
        <f>""</f>
        <v/>
      </c>
      <c r="O79" s="28" t="str">
        <f>""</f>
        <v/>
      </c>
      <c r="P79" s="27" t="str">
        <f>""</f>
        <v/>
      </c>
      <c r="Q79" s="27" t="str">
        <f>""</f>
        <v/>
      </c>
      <c r="R79" s="27" t="str">
        <f>"нет"</f>
        <v>нет</v>
      </c>
      <c r="S79" s="27" t="str">
        <f>""</f>
        <v/>
      </c>
      <c r="T79" s="27" t="str">
        <f>""</f>
        <v/>
      </c>
      <c r="U79" s="27" t="str">
        <f>""</f>
        <v/>
      </c>
      <c r="V79" s="27" t="str">
        <f t="shared" si="76"/>
        <v>нет</v>
      </c>
      <c r="W79" s="27" t="str">
        <f>""</f>
        <v/>
      </c>
      <c r="X79" s="27" t="str">
        <f>""</f>
        <v/>
      </c>
      <c r="Y79" s="29" t="str">
        <f>""</f>
        <v/>
      </c>
      <c r="Z79" s="27" t="str">
        <f t="shared" si="80"/>
        <v>х</v>
      </c>
      <c r="AA79" s="27" t="str">
        <f t="shared" ref="AA79:AB83" si="82">"х"</f>
        <v>х</v>
      </c>
      <c r="AB79" s="27" t="str">
        <f t="shared" si="82"/>
        <v>х</v>
      </c>
      <c r="AC79" s="27" t="str">
        <f t="shared" si="72"/>
        <v>нет</v>
      </c>
      <c r="AD79" s="27" t="str">
        <f t="shared" si="78"/>
        <v>х</v>
      </c>
      <c r="AE79" s="27" t="str">
        <f t="shared" si="78"/>
        <v>х</v>
      </c>
      <c r="AF79" s="27" t="str">
        <f t="shared" si="78"/>
        <v>х</v>
      </c>
      <c r="AG79" s="27" t="str">
        <f t="shared" si="73"/>
        <v>нет</v>
      </c>
      <c r="AH79" s="27" t="str">
        <f t="shared" si="79"/>
        <v>х</v>
      </c>
      <c r="AI79" s="27" t="str">
        <f t="shared" si="79"/>
        <v>х</v>
      </c>
      <c r="AJ79" s="27" t="str">
        <f t="shared" si="79"/>
        <v>х</v>
      </c>
      <c r="AK79" s="28" t="str">
        <f>"2010"</f>
        <v>2010</v>
      </c>
      <c r="AL79" s="27" t="str">
        <f>"10,00"</f>
        <v>10,00</v>
      </c>
      <c r="AM79" s="27" t="str">
        <f>"2040-2042"</f>
        <v>2040-2042</v>
      </c>
      <c r="AN79" s="30" t="str">
        <f>"нет"</f>
        <v>нет</v>
      </c>
      <c r="AO79" s="27" t="str">
        <f>""</f>
        <v/>
      </c>
      <c r="AP79" s="27" t="str">
        <f>""</f>
        <v/>
      </c>
      <c r="AQ79" s="27" t="str">
        <f>""</f>
        <v/>
      </c>
      <c r="AR79" s="27" t="str">
        <f t="shared" si="69"/>
        <v>нет</v>
      </c>
      <c r="AS79" s="27" t="str">
        <f>""</f>
        <v/>
      </c>
      <c r="AT79" s="27" t="str">
        <f>""</f>
        <v/>
      </c>
      <c r="AU79" s="27" t="str">
        <f>""</f>
        <v/>
      </c>
      <c r="AV79" s="27" t="str">
        <f>"2010"</f>
        <v>2010</v>
      </c>
      <c r="AW79" s="27" t="str">
        <f>"6,00"</f>
        <v>6,00</v>
      </c>
      <c r="AX79" s="27" t="str">
        <f>"2045-2047"</f>
        <v>2045-2047</v>
      </c>
      <c r="AY79" s="27" t="str">
        <f t="shared" si="70"/>
        <v>нет</v>
      </c>
      <c r="AZ79" s="27" t="str">
        <f>""</f>
        <v/>
      </c>
      <c r="BA79" s="27" t="str">
        <f>""</f>
        <v/>
      </c>
      <c r="BB79" s="27" t="str">
        <f>""</f>
        <v/>
      </c>
      <c r="BC79" s="27" t="str">
        <f t="shared" si="71"/>
        <v>нет</v>
      </c>
      <c r="BD79" s="27" t="str">
        <f>""</f>
        <v/>
      </c>
      <c r="BE79" s="27" t="str">
        <f>""</f>
        <v/>
      </c>
      <c r="BF79" s="27" t="str">
        <f>""</f>
        <v/>
      </c>
      <c r="BG79" s="27" t="str">
        <f>""</f>
        <v/>
      </c>
      <c r="BH79" s="27" t="str">
        <f>"65,00"</f>
        <v>65,00</v>
      </c>
      <c r="BI79" s="27" t="str">
        <f>"2019-2021"</f>
        <v>2019-2021</v>
      </c>
      <c r="BJ79" s="27" t="str">
        <f t="shared" si="81"/>
        <v>нет</v>
      </c>
      <c r="BK79" s="27" t="str">
        <f t="shared" si="74"/>
        <v>x</v>
      </c>
      <c r="BL79" s="27" t="str">
        <f>"60,00"</f>
        <v>60,00</v>
      </c>
      <c r="BM79" s="27" t="str">
        <f>"2020-2022"</f>
        <v>2020-2022</v>
      </c>
      <c r="BN79" s="27" t="str">
        <f>""</f>
        <v/>
      </c>
      <c r="BO79" s="27" t="str">
        <f>"60,00"</f>
        <v>60,00</v>
      </c>
      <c r="BP79" s="27" t="str">
        <f>"2033-2035"</f>
        <v>2033-2035</v>
      </c>
      <c r="BQ79" s="27" t="str">
        <f>""</f>
        <v/>
      </c>
      <c r="BR79" s="27" t="str">
        <f>"60,00"</f>
        <v>60,00</v>
      </c>
      <c r="BS79" s="27" t="str">
        <f>"2020-2022"</f>
        <v>2020-2022</v>
      </c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/>
      <c r="CM79" s="11"/>
      <c r="CN79" s="11"/>
      <c r="CO79" s="11"/>
      <c r="CP79" s="11"/>
      <c r="CQ79" s="11"/>
      <c r="CR79" s="11"/>
      <c r="CS79" s="11"/>
      <c r="CT79" s="11"/>
      <c r="CU79" s="11"/>
      <c r="CV79" s="11"/>
      <c r="CW79" s="11"/>
      <c r="CX79" s="11"/>
      <c r="CY79" s="11"/>
      <c r="CZ79" s="11"/>
      <c r="DA79" s="11"/>
      <c r="DB79" s="11"/>
      <c r="DC79" s="11"/>
      <c r="DD79" s="11"/>
      <c r="DE79" s="11"/>
      <c r="DF79" s="11"/>
      <c r="DG79" s="11"/>
      <c r="DH79" s="11"/>
      <c r="DI79" s="11"/>
      <c r="DJ79" s="11"/>
      <c r="DK79" s="11"/>
      <c r="DL79" s="11"/>
      <c r="DM79" s="11"/>
      <c r="DN79" s="11"/>
      <c r="DO79" s="11"/>
    </row>
    <row r="80" spans="1:119" s="10" customFormat="1" ht="11.25" customHeight="1">
      <c r="A80" s="24" t="str">
        <f>"1.67"</f>
        <v>1.67</v>
      </c>
      <c r="B80" s="25" t="str">
        <f>"г. Кириллов, ул. Октябрьская, д.15А"</f>
        <v>г. Кириллов, ул. Октябрьская, д.15А</v>
      </c>
      <c r="C80" s="26" t="str">
        <f>"2013"</f>
        <v>2013</v>
      </c>
      <c r="D80" s="27" t="str">
        <f>""</f>
        <v/>
      </c>
      <c r="E80" s="27" t="str">
        <f>"0,10"</f>
        <v>0,10</v>
      </c>
      <c r="F80" s="27" t="str">
        <f>"2036-2038"</f>
        <v>2036-2038</v>
      </c>
      <c r="G80" s="27" t="str">
        <f t="shared" si="68"/>
        <v>да</v>
      </c>
      <c r="H80" s="27" t="str">
        <f>"2013"</f>
        <v>2013</v>
      </c>
      <c r="I80" s="27" t="str">
        <f>"0,10"</f>
        <v>0,10</v>
      </c>
      <c r="J80" s="27" t="str">
        <f>"2029-2031"</f>
        <v>2029-2031</v>
      </c>
      <c r="K80" s="27" t="str">
        <f t="shared" si="75"/>
        <v>нет</v>
      </c>
      <c r="L80" s="27" t="str">
        <f>""</f>
        <v/>
      </c>
      <c r="M80" s="27" t="str">
        <f>""</f>
        <v/>
      </c>
      <c r="N80" s="27" t="str">
        <f>""</f>
        <v/>
      </c>
      <c r="O80" s="28" t="str">
        <f>""</f>
        <v/>
      </c>
      <c r="P80" s="27" t="str">
        <f>"0,10"</f>
        <v>0,10</v>
      </c>
      <c r="Q80" s="27" t="str">
        <f>"2038-2040"</f>
        <v>2038-2040</v>
      </c>
      <c r="R80" s="27" t="str">
        <f t="shared" ref="R80:R85" si="83">"да"</f>
        <v>да</v>
      </c>
      <c r="S80" s="27" t="str">
        <f>"2013"</f>
        <v>2013</v>
      </c>
      <c r="T80" s="27" t="str">
        <f>"0,10"</f>
        <v>0,10</v>
      </c>
      <c r="U80" s="27" t="str">
        <f>"2029-2031"</f>
        <v>2029-2031</v>
      </c>
      <c r="V80" s="27" t="str">
        <f t="shared" si="76"/>
        <v>нет</v>
      </c>
      <c r="W80" s="27" t="str">
        <f>""</f>
        <v/>
      </c>
      <c r="X80" s="27" t="str">
        <f>""</f>
        <v/>
      </c>
      <c r="Y80" s="29" t="str">
        <f>""</f>
        <v/>
      </c>
      <c r="Z80" s="27" t="str">
        <f t="shared" si="80"/>
        <v>х</v>
      </c>
      <c r="AA80" s="27" t="str">
        <f t="shared" si="82"/>
        <v>х</v>
      </c>
      <c r="AB80" s="27" t="str">
        <f t="shared" si="82"/>
        <v>х</v>
      </c>
      <c r="AC80" s="27" t="str">
        <f t="shared" si="72"/>
        <v>нет</v>
      </c>
      <c r="AD80" s="27" t="str">
        <f t="shared" si="78"/>
        <v>х</v>
      </c>
      <c r="AE80" s="27" t="str">
        <f t="shared" si="78"/>
        <v>х</v>
      </c>
      <c r="AF80" s="27" t="str">
        <f t="shared" si="78"/>
        <v>х</v>
      </c>
      <c r="AG80" s="27" t="str">
        <f t="shared" si="73"/>
        <v>нет</v>
      </c>
      <c r="AH80" s="27" t="str">
        <f t="shared" si="79"/>
        <v>х</v>
      </c>
      <c r="AI80" s="27" t="str">
        <f t="shared" si="79"/>
        <v>х</v>
      </c>
      <c r="AJ80" s="27" t="str">
        <f t="shared" si="79"/>
        <v>х</v>
      </c>
      <c r="AK80" s="28" t="str">
        <f>""</f>
        <v/>
      </c>
      <c r="AL80" s="27" t="str">
        <f>"0,10"</f>
        <v>0,10</v>
      </c>
      <c r="AM80" s="27" t="str">
        <f>"2043-2045"</f>
        <v>2043-2045</v>
      </c>
      <c r="AN80" s="30" t="str">
        <f>"да"</f>
        <v>да</v>
      </c>
      <c r="AO80" s="27" t="str">
        <f>"2013"</f>
        <v>2013</v>
      </c>
      <c r="AP80" s="27" t="str">
        <f>"0,10"</f>
        <v>0,10</v>
      </c>
      <c r="AQ80" s="27" t="str">
        <f>"2019-2021"</f>
        <v>2019-2021</v>
      </c>
      <c r="AR80" s="27" t="str">
        <f t="shared" si="69"/>
        <v>нет</v>
      </c>
      <c r="AS80" s="27" t="str">
        <f>""</f>
        <v/>
      </c>
      <c r="AT80" s="27" t="str">
        <f>""</f>
        <v/>
      </c>
      <c r="AU80" s="27" t="str">
        <f>""</f>
        <v/>
      </c>
      <c r="AV80" s="27" t="str">
        <f>""</f>
        <v/>
      </c>
      <c r="AW80" s="27" t="str">
        <f>"0,10"</f>
        <v>0,10</v>
      </c>
      <c r="AX80" s="27" t="str">
        <f>"2045-2047"</f>
        <v>2045-2047</v>
      </c>
      <c r="AY80" s="27" t="str">
        <f t="shared" si="70"/>
        <v>нет</v>
      </c>
      <c r="AZ80" s="27" t="str">
        <f>""</f>
        <v/>
      </c>
      <c r="BA80" s="27" t="str">
        <f>""</f>
        <v/>
      </c>
      <c r="BB80" s="27" t="str">
        <f>""</f>
        <v/>
      </c>
      <c r="BC80" s="27" t="str">
        <f t="shared" si="71"/>
        <v>нет</v>
      </c>
      <c r="BD80" s="27" t="str">
        <f>""</f>
        <v/>
      </c>
      <c r="BE80" s="27" t="str">
        <f>""</f>
        <v/>
      </c>
      <c r="BF80" s="27" t="str">
        <f>""</f>
        <v/>
      </c>
      <c r="BG80" s="27" t="str">
        <f>""</f>
        <v/>
      </c>
      <c r="BH80" s="27" t="str">
        <f>"0,10"</f>
        <v>0,10</v>
      </c>
      <c r="BI80" s="27" t="str">
        <f>"2040-2042"</f>
        <v>2040-2042</v>
      </c>
      <c r="BJ80" s="27" t="str">
        <f t="shared" si="81"/>
        <v>нет</v>
      </c>
      <c r="BK80" s="27" t="str">
        <f t="shared" si="74"/>
        <v>x</v>
      </c>
      <c r="BL80" s="27" t="str">
        <f>"0,10"</f>
        <v>0,10</v>
      </c>
      <c r="BM80" s="27" t="str">
        <f>"2045-2047"</f>
        <v>2045-2047</v>
      </c>
      <c r="BN80" s="27" t="str">
        <f>""</f>
        <v/>
      </c>
      <c r="BO80" s="27" t="str">
        <f>"0,10"</f>
        <v>0,10</v>
      </c>
      <c r="BP80" s="27" t="str">
        <f>"2043-2045"</f>
        <v>2043-2045</v>
      </c>
      <c r="BQ80" s="27" t="str">
        <f>""</f>
        <v/>
      </c>
      <c r="BR80" s="27" t="str">
        <f>"0,10"</f>
        <v>0,10</v>
      </c>
      <c r="BS80" s="27" t="str">
        <f>"2045-2047"</f>
        <v>2045-2047</v>
      </c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/>
      <c r="CM80" s="11"/>
      <c r="CN80" s="11"/>
      <c r="CO80" s="11"/>
      <c r="CP80" s="11"/>
      <c r="CQ80" s="11"/>
      <c r="CR80" s="11"/>
      <c r="CS80" s="11"/>
      <c r="CT80" s="11"/>
      <c r="CU80" s="11"/>
      <c r="CV80" s="11"/>
      <c r="CW80" s="11"/>
      <c r="CX80" s="11"/>
      <c r="CY80" s="11"/>
      <c r="CZ80" s="11"/>
      <c r="DA80" s="11"/>
      <c r="DB80" s="11"/>
      <c r="DC80" s="11"/>
      <c r="DD80" s="11"/>
      <c r="DE80" s="11"/>
      <c r="DF80" s="11"/>
      <c r="DG80" s="11"/>
      <c r="DH80" s="11"/>
      <c r="DI80" s="11"/>
      <c r="DJ80" s="11"/>
      <c r="DK80" s="11"/>
      <c r="DL80" s="11"/>
      <c r="DM80" s="11"/>
      <c r="DN80" s="11"/>
      <c r="DO80" s="11"/>
    </row>
    <row r="81" spans="1:119" s="9" customFormat="1" ht="11.25" customHeight="1">
      <c r="A81" s="24" t="str">
        <f>"1.68"</f>
        <v>1.68</v>
      </c>
      <c r="B81" s="25" t="str">
        <f>"г. Кириллов, ул. Октябрьская, д.17"</f>
        <v>г. Кириллов, ул. Октябрьская, д.17</v>
      </c>
      <c r="C81" s="26" t="str">
        <f>"2011"</f>
        <v>2011</v>
      </c>
      <c r="D81" s="27" t="str">
        <f>""</f>
        <v/>
      </c>
      <c r="E81" s="27" t="str">
        <f>"10,00"</f>
        <v>10,00</v>
      </c>
      <c r="F81" s="27" t="str">
        <f>"2036-2038"</f>
        <v>2036-2038</v>
      </c>
      <c r="G81" s="27" t="str">
        <f t="shared" si="68"/>
        <v>да</v>
      </c>
      <c r="H81" s="27" t="str">
        <f>"2011"</f>
        <v>2011</v>
      </c>
      <c r="I81" s="27" t="str">
        <f>"13,00"</f>
        <v>13,00</v>
      </c>
      <c r="J81" s="27" t="str">
        <f>"2027-2029"</f>
        <v>2027-2029</v>
      </c>
      <c r="K81" s="27" t="str">
        <f t="shared" si="75"/>
        <v>нет</v>
      </c>
      <c r="L81" s="27" t="str">
        <f>""</f>
        <v/>
      </c>
      <c r="M81" s="27" t="str">
        <f>""</f>
        <v/>
      </c>
      <c r="N81" s="27" t="str">
        <f>""</f>
        <v/>
      </c>
      <c r="O81" s="28" t="str">
        <f>""</f>
        <v/>
      </c>
      <c r="P81" s="27" t="str">
        <f>"8,00"</f>
        <v>8,00</v>
      </c>
      <c r="Q81" s="27" t="str">
        <f>"2036-2038"</f>
        <v>2036-2038</v>
      </c>
      <c r="R81" s="27" t="str">
        <f t="shared" si="83"/>
        <v>да</v>
      </c>
      <c r="S81" s="27" t="str">
        <f>"2011"</f>
        <v>2011</v>
      </c>
      <c r="T81" s="27" t="str">
        <f>"13,00"</f>
        <v>13,00</v>
      </c>
      <c r="U81" s="27" t="str">
        <f>"2027-2029"</f>
        <v>2027-2029</v>
      </c>
      <c r="V81" s="27" t="str">
        <f t="shared" si="76"/>
        <v>нет</v>
      </c>
      <c r="W81" s="27" t="str">
        <f>""</f>
        <v/>
      </c>
      <c r="X81" s="27" t="str">
        <f>""</f>
        <v/>
      </c>
      <c r="Y81" s="29" t="str">
        <f>""</f>
        <v/>
      </c>
      <c r="Z81" s="27" t="str">
        <f t="shared" si="80"/>
        <v>х</v>
      </c>
      <c r="AA81" s="27" t="str">
        <f t="shared" si="82"/>
        <v>х</v>
      </c>
      <c r="AB81" s="27" t="str">
        <f t="shared" si="82"/>
        <v>х</v>
      </c>
      <c r="AC81" s="27" t="str">
        <f t="shared" si="72"/>
        <v>нет</v>
      </c>
      <c r="AD81" s="27" t="str">
        <f t="shared" si="78"/>
        <v>х</v>
      </c>
      <c r="AE81" s="27" t="str">
        <f t="shared" si="78"/>
        <v>х</v>
      </c>
      <c r="AF81" s="27" t="str">
        <f t="shared" si="78"/>
        <v>х</v>
      </c>
      <c r="AG81" s="27" t="str">
        <f t="shared" si="73"/>
        <v>нет</v>
      </c>
      <c r="AH81" s="27" t="str">
        <f t="shared" si="79"/>
        <v>х</v>
      </c>
      <c r="AI81" s="27" t="str">
        <f t="shared" si="79"/>
        <v>х</v>
      </c>
      <c r="AJ81" s="27" t="str">
        <f t="shared" si="79"/>
        <v>х</v>
      </c>
      <c r="AK81" s="28" t="str">
        <f>""</f>
        <v/>
      </c>
      <c r="AL81" s="27" t="str">
        <f>"7,00"</f>
        <v>7,00</v>
      </c>
      <c r="AM81" s="27" t="str">
        <f>"2041-2043"</f>
        <v>2041-2043</v>
      </c>
      <c r="AN81" s="30" t="str">
        <f>"нет"</f>
        <v>нет</v>
      </c>
      <c r="AO81" s="27" t="str">
        <f>"2011"</f>
        <v>2011</v>
      </c>
      <c r="AP81" s="27" t="str">
        <f>"33,00"</f>
        <v>33,00</v>
      </c>
      <c r="AQ81" s="27" t="str">
        <f>"2017-2019"</f>
        <v>2017-2019</v>
      </c>
      <c r="AR81" s="27" t="str">
        <f t="shared" si="69"/>
        <v>нет</v>
      </c>
      <c r="AS81" s="27" t="str">
        <f>""</f>
        <v/>
      </c>
      <c r="AT81" s="27" t="str">
        <f>""</f>
        <v/>
      </c>
      <c r="AU81" s="27" t="str">
        <f>""</f>
        <v/>
      </c>
      <c r="AV81" s="27" t="str">
        <f>""</f>
        <v/>
      </c>
      <c r="AW81" s="27" t="str">
        <f>"4,00"</f>
        <v>4,00</v>
      </c>
      <c r="AX81" s="27" t="str">
        <f>"2045-2047"</f>
        <v>2045-2047</v>
      </c>
      <c r="AY81" s="27" t="str">
        <f t="shared" si="70"/>
        <v>нет</v>
      </c>
      <c r="AZ81" s="27" t="str">
        <f>""</f>
        <v/>
      </c>
      <c r="BA81" s="27" t="str">
        <f>""</f>
        <v/>
      </c>
      <c r="BB81" s="27" t="str">
        <f>""</f>
        <v/>
      </c>
      <c r="BC81" s="27" t="str">
        <f t="shared" si="71"/>
        <v>нет</v>
      </c>
      <c r="BD81" s="27" t="str">
        <f>""</f>
        <v/>
      </c>
      <c r="BE81" s="27" t="str">
        <f>""</f>
        <v/>
      </c>
      <c r="BF81" s="27" t="str">
        <f>""</f>
        <v/>
      </c>
      <c r="BG81" s="27" t="str">
        <f>""</f>
        <v/>
      </c>
      <c r="BH81" s="27" t="str">
        <f>"13,00"</f>
        <v>13,00</v>
      </c>
      <c r="BI81" s="27" t="str">
        <f>"2024-2026"</f>
        <v>2024-2026</v>
      </c>
      <c r="BJ81" s="27" t="str">
        <f t="shared" si="81"/>
        <v>нет</v>
      </c>
      <c r="BK81" s="27" t="str">
        <f t="shared" si="74"/>
        <v>x</v>
      </c>
      <c r="BL81" s="27" t="str">
        <f>"4,00"</f>
        <v>4,00</v>
      </c>
      <c r="BM81" s="27" t="str">
        <f>"2045-2047"</f>
        <v>2045-2047</v>
      </c>
      <c r="BN81" s="27" t="str">
        <f>""</f>
        <v/>
      </c>
      <c r="BO81" s="27" t="str">
        <f>"4,00"</f>
        <v>4,00</v>
      </c>
      <c r="BP81" s="27" t="str">
        <f>"2041-2043"</f>
        <v>2041-2043</v>
      </c>
      <c r="BQ81" s="27" t="str">
        <f>""</f>
        <v/>
      </c>
      <c r="BR81" s="27" t="str">
        <f>"4,00"</f>
        <v>4,00</v>
      </c>
      <c r="BS81" s="27" t="str">
        <f>"2045-2047"</f>
        <v>2045-2047</v>
      </c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/>
      <c r="CM81" s="11"/>
      <c r="CN81" s="11"/>
      <c r="CO81" s="11"/>
      <c r="CP81" s="11"/>
      <c r="CQ81" s="11"/>
      <c r="CR81" s="11"/>
      <c r="CS81" s="11"/>
      <c r="CT81" s="11"/>
      <c r="CU81" s="11"/>
      <c r="CV81" s="11"/>
      <c r="CW81" s="11"/>
      <c r="CX81" s="11"/>
      <c r="CY81" s="11"/>
      <c r="CZ81" s="11"/>
      <c r="DA81" s="11"/>
      <c r="DB81" s="11"/>
      <c r="DC81" s="11"/>
      <c r="DD81" s="11"/>
      <c r="DE81" s="11"/>
      <c r="DF81" s="11"/>
      <c r="DG81" s="11"/>
      <c r="DH81" s="11"/>
      <c r="DI81" s="11"/>
      <c r="DJ81" s="11"/>
      <c r="DK81" s="11"/>
      <c r="DL81" s="11"/>
      <c r="DM81" s="11"/>
      <c r="DN81" s="11"/>
      <c r="DO81" s="11"/>
    </row>
    <row r="82" spans="1:119" s="9" customFormat="1" ht="11.25" customHeight="1">
      <c r="A82" s="24" t="str">
        <f>"1.69"</f>
        <v>1.69</v>
      </c>
      <c r="B82" s="25" t="str">
        <f>"г. Кириллов, ул. Парышкинская, д.114"</f>
        <v>г. Кириллов, ул. Парышкинская, д.114</v>
      </c>
      <c r="C82" s="26" t="str">
        <f>"2007"</f>
        <v>2007</v>
      </c>
      <c r="D82" s="27" t="str">
        <f>"2007"</f>
        <v>2007</v>
      </c>
      <c r="E82" s="27" t="str">
        <f>"24,00"</f>
        <v>24,00</v>
      </c>
      <c r="F82" s="27" t="str">
        <f>"2036-2038"</f>
        <v>2036-2038</v>
      </c>
      <c r="G82" s="27" t="str">
        <f t="shared" si="68"/>
        <v>да</v>
      </c>
      <c r="H82" s="27" t="str">
        <f>"2007"</f>
        <v>2007</v>
      </c>
      <c r="I82" s="27" t="str">
        <f>"38,00"</f>
        <v>38,00</v>
      </c>
      <c r="J82" s="27" t="str">
        <f>"2023-2025"</f>
        <v>2023-2025</v>
      </c>
      <c r="K82" s="27" t="str">
        <f t="shared" si="75"/>
        <v>нет</v>
      </c>
      <c r="L82" s="27" t="str">
        <f>""</f>
        <v/>
      </c>
      <c r="M82" s="27" t="str">
        <f>""</f>
        <v/>
      </c>
      <c r="N82" s="27" t="str">
        <f>""</f>
        <v/>
      </c>
      <c r="O82" s="28" t="str">
        <f>"2007"</f>
        <v>2007</v>
      </c>
      <c r="P82" s="27" t="str">
        <f>"15,00"</f>
        <v>15,00</v>
      </c>
      <c r="Q82" s="27" t="str">
        <f>"2032-2034"</f>
        <v>2032-2034</v>
      </c>
      <c r="R82" s="27" t="str">
        <f t="shared" si="83"/>
        <v>да</v>
      </c>
      <c r="S82" s="27" t="str">
        <f>"2012"</f>
        <v>2012</v>
      </c>
      <c r="T82" s="27" t="str">
        <f>"6,00"</f>
        <v>6,00</v>
      </c>
      <c r="U82" s="27" t="str">
        <f>"2028-2030"</f>
        <v>2028-2030</v>
      </c>
      <c r="V82" s="27" t="str">
        <f t="shared" si="76"/>
        <v>нет</v>
      </c>
      <c r="W82" s="27" t="str">
        <f>""</f>
        <v/>
      </c>
      <c r="X82" s="27" t="str">
        <f>""</f>
        <v/>
      </c>
      <c r="Y82" s="29" t="str">
        <f>""</f>
        <v/>
      </c>
      <c r="Z82" s="27" t="str">
        <f t="shared" si="80"/>
        <v>х</v>
      </c>
      <c r="AA82" s="27" t="str">
        <f t="shared" si="82"/>
        <v>х</v>
      </c>
      <c r="AB82" s="27" t="str">
        <f t="shared" si="82"/>
        <v>х</v>
      </c>
      <c r="AC82" s="27" t="str">
        <f t="shared" si="72"/>
        <v>нет</v>
      </c>
      <c r="AD82" s="27" t="str">
        <f t="shared" si="78"/>
        <v>х</v>
      </c>
      <c r="AE82" s="27" t="str">
        <f t="shared" si="78"/>
        <v>х</v>
      </c>
      <c r="AF82" s="27" t="str">
        <f t="shared" si="78"/>
        <v>х</v>
      </c>
      <c r="AG82" s="27" t="str">
        <f t="shared" si="73"/>
        <v>нет</v>
      </c>
      <c r="AH82" s="27" t="str">
        <f t="shared" si="79"/>
        <v>х</v>
      </c>
      <c r="AI82" s="27" t="str">
        <f t="shared" si="79"/>
        <v>х</v>
      </c>
      <c r="AJ82" s="27" t="str">
        <f t="shared" si="79"/>
        <v>х</v>
      </c>
      <c r="AK82" s="28" t="str">
        <f>"2007"</f>
        <v>2007</v>
      </c>
      <c r="AL82" s="27" t="str">
        <f>"25,00"</f>
        <v>25,00</v>
      </c>
      <c r="AM82" s="27" t="str">
        <f>"2037-2039"</f>
        <v>2037-2039</v>
      </c>
      <c r="AN82" s="30" t="str">
        <f>"да"</f>
        <v>да</v>
      </c>
      <c r="AO82" s="27" t="str">
        <f>"2012"</f>
        <v>2012</v>
      </c>
      <c r="AP82" s="27" t="str">
        <f>"17,00"</f>
        <v>17,00</v>
      </c>
      <c r="AQ82" s="27" t="str">
        <f>"2018-2020"</f>
        <v>2018-2020</v>
      </c>
      <c r="AR82" s="27" t="str">
        <f t="shared" si="69"/>
        <v>нет</v>
      </c>
      <c r="AS82" s="27" t="str">
        <f>""</f>
        <v/>
      </c>
      <c r="AT82" s="27" t="str">
        <f>""</f>
        <v/>
      </c>
      <c r="AU82" s="27" t="str">
        <f>""</f>
        <v/>
      </c>
      <c r="AV82" s="27" t="str">
        <f>""</f>
        <v/>
      </c>
      <c r="AW82" s="27" t="str">
        <f>"12,00"</f>
        <v>12,00</v>
      </c>
      <c r="AX82" s="27" t="str">
        <f>"2045-2047"</f>
        <v>2045-2047</v>
      </c>
      <c r="AY82" s="27" t="str">
        <f t="shared" si="70"/>
        <v>нет</v>
      </c>
      <c r="AZ82" s="27" t="str">
        <f>""</f>
        <v/>
      </c>
      <c r="BA82" s="27" t="str">
        <f>""</f>
        <v/>
      </c>
      <c r="BB82" s="27" t="str">
        <f>""</f>
        <v/>
      </c>
      <c r="BC82" s="27" t="str">
        <f t="shared" si="71"/>
        <v>нет</v>
      </c>
      <c r="BD82" s="27" t="str">
        <f>""</f>
        <v/>
      </c>
      <c r="BE82" s="27" t="str">
        <f>""</f>
        <v/>
      </c>
      <c r="BF82" s="27" t="str">
        <f>""</f>
        <v/>
      </c>
      <c r="BG82" s="27" t="str">
        <f>""</f>
        <v/>
      </c>
      <c r="BH82" s="27" t="str">
        <f>"25,00"</f>
        <v>25,00</v>
      </c>
      <c r="BI82" s="27" t="str">
        <f>"2040-2042"</f>
        <v>2040-2042</v>
      </c>
      <c r="BJ82" s="27" t="str">
        <f t="shared" si="81"/>
        <v>нет</v>
      </c>
      <c r="BK82" s="27" t="str">
        <f t="shared" si="74"/>
        <v>x</v>
      </c>
      <c r="BL82" s="27" t="str">
        <f>"12,00"</f>
        <v>12,00</v>
      </c>
      <c r="BM82" s="27" t="str">
        <f>"2045-2047"</f>
        <v>2045-2047</v>
      </c>
      <c r="BN82" s="27" t="str">
        <f>""</f>
        <v/>
      </c>
      <c r="BO82" s="27" t="str">
        <f>"12,00"</f>
        <v>12,00</v>
      </c>
      <c r="BP82" s="27" t="str">
        <f>"2037-2039"</f>
        <v>2037-2039</v>
      </c>
      <c r="BQ82" s="27" t="str">
        <f>""</f>
        <v/>
      </c>
      <c r="BR82" s="27" t="str">
        <f>"12,00"</f>
        <v>12,00</v>
      </c>
      <c r="BS82" s="27" t="str">
        <f>"2045-2047"</f>
        <v>2045-2047</v>
      </c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/>
      <c r="CF82" s="11"/>
      <c r="CG82" s="11"/>
      <c r="CH82" s="11"/>
      <c r="CI82" s="11"/>
      <c r="CJ82" s="11"/>
      <c r="CK82" s="11"/>
      <c r="CL82" s="11"/>
      <c r="CM82" s="11"/>
      <c r="CN82" s="11"/>
      <c r="CO82" s="11"/>
      <c r="CP82" s="11"/>
      <c r="CQ82" s="11"/>
      <c r="CR82" s="11"/>
      <c r="CS82" s="11"/>
      <c r="CT82" s="11"/>
      <c r="CU82" s="11"/>
      <c r="CV82" s="11"/>
      <c r="CW82" s="11"/>
      <c r="CX82" s="11"/>
      <c r="CY82" s="11"/>
      <c r="CZ82" s="11"/>
      <c r="DA82" s="11"/>
      <c r="DB82" s="11"/>
      <c r="DC82" s="11"/>
      <c r="DD82" s="11"/>
      <c r="DE82" s="11"/>
      <c r="DF82" s="11"/>
      <c r="DG82" s="11"/>
      <c r="DH82" s="11"/>
      <c r="DI82" s="11"/>
      <c r="DJ82" s="11"/>
      <c r="DK82" s="11"/>
      <c r="DL82" s="11"/>
      <c r="DM82" s="11"/>
      <c r="DN82" s="11"/>
      <c r="DO82" s="11"/>
    </row>
    <row r="83" spans="1:119" s="9" customFormat="1" ht="11.25" customHeight="1">
      <c r="A83" s="24" t="str">
        <f>"1.70"</f>
        <v>1.70</v>
      </c>
      <c r="B83" s="25" t="str">
        <f>"г. Кириллов, ул. Парышкинская, д.46"</f>
        <v>г. Кириллов, ул. Парышкинская, д.46</v>
      </c>
      <c r="C83" s="26" t="str">
        <f>"1984"</f>
        <v>1984</v>
      </c>
      <c r="D83" s="27" t="str">
        <f>""</f>
        <v/>
      </c>
      <c r="E83" s="27" t="str">
        <f>"60,00"</f>
        <v>60,00</v>
      </c>
      <c r="F83" s="27" t="str">
        <f>"2018-2020"</f>
        <v>2018-2020</v>
      </c>
      <c r="G83" s="27" t="str">
        <f t="shared" si="68"/>
        <v>да</v>
      </c>
      <c r="H83" s="27" t="str">
        <f>"2009"</f>
        <v>2009</v>
      </c>
      <c r="I83" s="27" t="str">
        <f>"25,00"</f>
        <v>25,00</v>
      </c>
      <c r="J83" s="27" t="str">
        <f>"2025-2027"</f>
        <v>2025-2027</v>
      </c>
      <c r="K83" s="27" t="str">
        <f t="shared" si="75"/>
        <v>нет</v>
      </c>
      <c r="L83" s="27" t="str">
        <f>""</f>
        <v/>
      </c>
      <c r="M83" s="27" t="str">
        <f>""</f>
        <v/>
      </c>
      <c r="N83" s="27" t="str">
        <f>""</f>
        <v/>
      </c>
      <c r="O83" s="28" t="str">
        <f>""</f>
        <v/>
      </c>
      <c r="P83" s="27" t="str">
        <f>"60,00"</f>
        <v>60,00</v>
      </c>
      <c r="Q83" s="27" t="str">
        <f>"2018-2020"</f>
        <v>2018-2020</v>
      </c>
      <c r="R83" s="27" t="str">
        <f t="shared" si="83"/>
        <v>да</v>
      </c>
      <c r="S83" s="27" t="str">
        <f>"2010"</f>
        <v>2010</v>
      </c>
      <c r="T83" s="27" t="str">
        <f>"25,00"</f>
        <v>25,00</v>
      </c>
      <c r="U83" s="27" t="str">
        <f>"2026-2028"</f>
        <v>2026-2028</v>
      </c>
      <c r="V83" s="27" t="str">
        <f t="shared" si="76"/>
        <v>нет</v>
      </c>
      <c r="W83" s="27" t="str">
        <f>""</f>
        <v/>
      </c>
      <c r="X83" s="27" t="str">
        <f>""</f>
        <v/>
      </c>
      <c r="Y83" s="29" t="str">
        <f>""</f>
        <v/>
      </c>
      <c r="Z83" s="27" t="str">
        <f t="shared" si="80"/>
        <v>х</v>
      </c>
      <c r="AA83" s="27" t="str">
        <f t="shared" si="82"/>
        <v>х</v>
      </c>
      <c r="AB83" s="27" t="str">
        <f t="shared" si="82"/>
        <v>х</v>
      </c>
      <c r="AC83" s="27" t="str">
        <f t="shared" si="72"/>
        <v>нет</v>
      </c>
      <c r="AD83" s="27" t="str">
        <f t="shared" si="78"/>
        <v>х</v>
      </c>
      <c r="AE83" s="27" t="str">
        <f t="shared" si="78"/>
        <v>х</v>
      </c>
      <c r="AF83" s="27" t="str">
        <f t="shared" si="78"/>
        <v>х</v>
      </c>
      <c r="AG83" s="27" t="str">
        <f t="shared" si="73"/>
        <v>нет</v>
      </c>
      <c r="AH83" s="27" t="str">
        <f t="shared" si="79"/>
        <v>х</v>
      </c>
      <c r="AI83" s="27" t="str">
        <f t="shared" si="79"/>
        <v>х</v>
      </c>
      <c r="AJ83" s="27" t="str">
        <f t="shared" si="79"/>
        <v>х</v>
      </c>
      <c r="AK83" s="28" t="str">
        <f>""</f>
        <v/>
      </c>
      <c r="AL83" s="27" t="str">
        <f>"65,00"</f>
        <v>65,00</v>
      </c>
      <c r="AM83" s="27" t="str">
        <f>"2031-2033"</f>
        <v>2031-2033</v>
      </c>
      <c r="AN83" s="30" t="str">
        <f>"нет"</f>
        <v>нет</v>
      </c>
      <c r="AO83" s="27" t="str">
        <f>""</f>
        <v/>
      </c>
      <c r="AP83" s="27" t="str">
        <f>""</f>
        <v/>
      </c>
      <c r="AQ83" s="27" t="str">
        <f>""</f>
        <v/>
      </c>
      <c r="AR83" s="27" t="str">
        <f t="shared" si="69"/>
        <v>нет</v>
      </c>
      <c r="AS83" s="27" t="str">
        <f>""</f>
        <v/>
      </c>
      <c r="AT83" s="27" t="str">
        <f>""</f>
        <v/>
      </c>
      <c r="AU83" s="27" t="str">
        <f>""</f>
        <v/>
      </c>
      <c r="AV83" s="27" t="str">
        <f>""</f>
        <v/>
      </c>
      <c r="AW83" s="27" t="str">
        <f>"65,00"</f>
        <v>65,00</v>
      </c>
      <c r="AX83" s="27" t="str">
        <f>"2025-2027"</f>
        <v>2025-2027</v>
      </c>
      <c r="AY83" s="27" t="str">
        <f t="shared" si="70"/>
        <v>нет</v>
      </c>
      <c r="AZ83" s="27" t="str">
        <f>""</f>
        <v/>
      </c>
      <c r="BA83" s="27" t="str">
        <f>""</f>
        <v/>
      </c>
      <c r="BB83" s="27" t="str">
        <f>""</f>
        <v/>
      </c>
      <c r="BC83" s="27" t="str">
        <f t="shared" si="71"/>
        <v>нет</v>
      </c>
      <c r="BD83" s="27" t="str">
        <f>""</f>
        <v/>
      </c>
      <c r="BE83" s="27" t="str">
        <f>""</f>
        <v/>
      </c>
      <c r="BF83" s="27" t="str">
        <f>""</f>
        <v/>
      </c>
      <c r="BG83" s="27" t="str">
        <f>""</f>
        <v/>
      </c>
      <c r="BH83" s="27" t="str">
        <f>"60,00"</f>
        <v>60,00</v>
      </c>
      <c r="BI83" s="27" t="str">
        <f>"2022-2024"</f>
        <v>2022-2024</v>
      </c>
      <c r="BJ83" s="27" t="str">
        <f t="shared" si="81"/>
        <v>нет</v>
      </c>
      <c r="BK83" s="27" t="str">
        <f t="shared" si="74"/>
        <v>x</v>
      </c>
      <c r="BL83" s="27" t="str">
        <f>"60,00"</f>
        <v>60,00</v>
      </c>
      <c r="BM83" s="27" t="str">
        <f>"2024-2026"</f>
        <v>2024-2026</v>
      </c>
      <c r="BN83" s="27" t="str">
        <f>""</f>
        <v/>
      </c>
      <c r="BO83" s="27" t="str">
        <f>"60,00"</f>
        <v>60,00</v>
      </c>
      <c r="BP83" s="27" t="str">
        <f>"2035-2037"</f>
        <v>2035-2037</v>
      </c>
      <c r="BQ83" s="27" t="str">
        <f>""</f>
        <v/>
      </c>
      <c r="BR83" s="27" t="str">
        <f>"60,00"</f>
        <v>60,00</v>
      </c>
      <c r="BS83" s="27" t="str">
        <f>"2024-2026"</f>
        <v>2024-2026</v>
      </c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  <c r="CH83" s="11"/>
      <c r="CI83" s="11"/>
      <c r="CJ83" s="11"/>
      <c r="CK83" s="11"/>
      <c r="CL83" s="11"/>
      <c r="CM83" s="11"/>
      <c r="CN83" s="11"/>
      <c r="CO83" s="11"/>
      <c r="CP83" s="11"/>
      <c r="CQ83" s="11"/>
      <c r="CR83" s="11"/>
      <c r="CS83" s="11"/>
      <c r="CT83" s="11"/>
      <c r="CU83" s="11"/>
      <c r="CV83" s="11"/>
      <c r="CW83" s="11"/>
      <c r="CX83" s="11"/>
      <c r="CY83" s="11"/>
      <c r="CZ83" s="11"/>
      <c r="DA83" s="11"/>
      <c r="DB83" s="11"/>
      <c r="DC83" s="11"/>
      <c r="DD83" s="11"/>
      <c r="DE83" s="11"/>
      <c r="DF83" s="11"/>
      <c r="DG83" s="11"/>
      <c r="DH83" s="11"/>
      <c r="DI83" s="11"/>
      <c r="DJ83" s="11"/>
      <c r="DK83" s="11"/>
      <c r="DL83" s="11"/>
      <c r="DM83" s="11"/>
      <c r="DN83" s="11"/>
      <c r="DO83" s="11"/>
    </row>
    <row r="84" spans="1:119" s="10" customFormat="1" ht="11.25" customHeight="1">
      <c r="A84" s="24" t="str">
        <f>"1.71"</f>
        <v>1.71</v>
      </c>
      <c r="B84" s="25" t="str">
        <f>"г. Кириллов, ул. Парышкинская, д.65"</f>
        <v>г. Кириллов, ул. Парышкинская, д.65</v>
      </c>
      <c r="C84" s="26" t="str">
        <f>"1978"</f>
        <v>1978</v>
      </c>
      <c r="D84" s="27" t="str">
        <f>""</f>
        <v/>
      </c>
      <c r="E84" s="27" t="str">
        <f>"90,00"</f>
        <v>90,00</v>
      </c>
      <c r="F84" s="27" t="str">
        <f>"2030-2032"</f>
        <v>2030-2032</v>
      </c>
      <c r="G84" s="27" t="str">
        <f t="shared" si="68"/>
        <v>да</v>
      </c>
      <c r="H84" s="27" t="str">
        <f>"2009"</f>
        <v>2009</v>
      </c>
      <c r="I84" s="27" t="str">
        <f>"25,00"</f>
        <v>25,00</v>
      </c>
      <c r="J84" s="27" t="str">
        <f>"2025-2027"</f>
        <v>2025-2027</v>
      </c>
      <c r="K84" s="27" t="str">
        <f t="shared" si="75"/>
        <v>нет</v>
      </c>
      <c r="L84" s="27" t="str">
        <f>""</f>
        <v/>
      </c>
      <c r="M84" s="27" t="str">
        <f>""</f>
        <v/>
      </c>
      <c r="N84" s="27" t="str">
        <f>""</f>
        <v/>
      </c>
      <c r="O84" s="28" t="str">
        <f>""</f>
        <v/>
      </c>
      <c r="P84" s="27" t="str">
        <f>"88,00"</f>
        <v>88,00</v>
      </c>
      <c r="Q84" s="27" t="str">
        <f>"2025-2027"</f>
        <v>2025-2027</v>
      </c>
      <c r="R84" s="27" t="str">
        <f t="shared" si="83"/>
        <v>да</v>
      </c>
      <c r="S84" s="27" t="str">
        <f>"2010"</f>
        <v>2010</v>
      </c>
      <c r="T84" s="27" t="str">
        <f>"18,00"</f>
        <v>18,00</v>
      </c>
      <c r="U84" s="27" t="str">
        <f>"2026-2028"</f>
        <v>2026-2028</v>
      </c>
      <c r="V84" s="27" t="str">
        <f t="shared" si="76"/>
        <v>нет</v>
      </c>
      <c r="W84" s="27" t="str">
        <f>""</f>
        <v/>
      </c>
      <c r="X84" s="27" t="str">
        <f>""</f>
        <v/>
      </c>
      <c r="Y84" s="29" t="str">
        <f>""</f>
        <v/>
      </c>
      <c r="Z84" s="27" t="str">
        <f t="shared" si="80"/>
        <v>х</v>
      </c>
      <c r="AA84" s="27" t="str">
        <f>"68,00"</f>
        <v>68,00</v>
      </c>
      <c r="AB84" s="27" t="str">
        <f>"2022-2024"</f>
        <v>2022-2024</v>
      </c>
      <c r="AC84" s="27" t="str">
        <f t="shared" si="72"/>
        <v>нет</v>
      </c>
      <c r="AD84" s="27" t="str">
        <f t="shared" si="78"/>
        <v>х</v>
      </c>
      <c r="AE84" s="27" t="str">
        <f t="shared" si="78"/>
        <v>х</v>
      </c>
      <c r="AF84" s="27" t="str">
        <f t="shared" si="78"/>
        <v>х</v>
      </c>
      <c r="AG84" s="27" t="str">
        <f t="shared" si="73"/>
        <v>нет</v>
      </c>
      <c r="AH84" s="27" t="str">
        <f t="shared" si="79"/>
        <v>х</v>
      </c>
      <c r="AI84" s="27" t="str">
        <f t="shared" si="79"/>
        <v>х</v>
      </c>
      <c r="AJ84" s="27" t="str">
        <f t="shared" si="79"/>
        <v>х</v>
      </c>
      <c r="AK84" s="28" t="str">
        <f>"2011"</f>
        <v>2011</v>
      </c>
      <c r="AL84" s="27" t="str">
        <f>"8,00"</f>
        <v>8,00</v>
      </c>
      <c r="AM84" s="27" t="str">
        <f>"2041-2043"</f>
        <v>2041-2043</v>
      </c>
      <c r="AN84" s="30">
        <v>2015</v>
      </c>
      <c r="AO84" s="27" t="str">
        <f>""</f>
        <v/>
      </c>
      <c r="AP84" s="27" t="str">
        <f>""</f>
        <v/>
      </c>
      <c r="AQ84" s="27">
        <v>2030</v>
      </c>
      <c r="AR84" s="27" t="str">
        <f t="shared" si="69"/>
        <v>нет</v>
      </c>
      <c r="AS84" s="27" t="str">
        <f>""</f>
        <v/>
      </c>
      <c r="AT84" s="27" t="str">
        <f>""</f>
        <v/>
      </c>
      <c r="AU84" s="27" t="str">
        <f>""</f>
        <v/>
      </c>
      <c r="AV84" s="27" t="str">
        <f>""</f>
        <v/>
      </c>
      <c r="AW84" s="27" t="str">
        <f>"70,00"</f>
        <v>70,00</v>
      </c>
      <c r="AX84" s="27" t="str">
        <f>"2023-2025"</f>
        <v>2023-2025</v>
      </c>
      <c r="AY84" s="27" t="str">
        <f t="shared" si="70"/>
        <v>нет</v>
      </c>
      <c r="AZ84" s="27" t="str">
        <f>""</f>
        <v/>
      </c>
      <c r="BA84" s="27" t="str">
        <f>""</f>
        <v/>
      </c>
      <c r="BB84" s="27" t="str">
        <f>""</f>
        <v/>
      </c>
      <c r="BC84" s="27" t="str">
        <f t="shared" si="71"/>
        <v>нет</v>
      </c>
      <c r="BD84" s="27" t="str">
        <f>""</f>
        <v/>
      </c>
      <c r="BE84" s="27" t="str">
        <f>""</f>
        <v/>
      </c>
      <c r="BF84" s="27" t="str">
        <f>""</f>
        <v/>
      </c>
      <c r="BG84" s="27" t="str">
        <f>"2008"</f>
        <v>2008</v>
      </c>
      <c r="BH84" s="27" t="str">
        <f>"33,00"</f>
        <v>33,00</v>
      </c>
      <c r="BI84" s="27" t="str">
        <f>"2029-2031"</f>
        <v>2029-2031</v>
      </c>
      <c r="BJ84" s="27" t="str">
        <f t="shared" si="81"/>
        <v>нет</v>
      </c>
      <c r="BK84" s="27" t="str">
        <f t="shared" si="74"/>
        <v>x</v>
      </c>
      <c r="BL84" s="27" t="str">
        <f>"60,00"</f>
        <v>60,00</v>
      </c>
      <c r="BM84" s="27" t="str">
        <f>"2026-2028"</f>
        <v>2026-2028</v>
      </c>
      <c r="BN84" s="27" t="str">
        <f>""</f>
        <v/>
      </c>
      <c r="BO84" s="27" t="str">
        <f>"65,00"</f>
        <v>65,00</v>
      </c>
      <c r="BP84" s="27" t="str">
        <f>"2020-2022"</f>
        <v>2020-2022</v>
      </c>
      <c r="BQ84" s="27" t="str">
        <f>""</f>
        <v/>
      </c>
      <c r="BR84" s="27" t="str">
        <f>"60,00"</f>
        <v>60,00</v>
      </c>
      <c r="BS84" s="27" t="str">
        <f>"2026-2028"</f>
        <v>2026-2028</v>
      </c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  <c r="CG84" s="11"/>
      <c r="CH84" s="11"/>
      <c r="CI84" s="11"/>
      <c r="CJ84" s="11"/>
      <c r="CK84" s="11"/>
      <c r="CL84" s="11"/>
      <c r="CM84" s="11"/>
      <c r="CN84" s="11"/>
      <c r="CO84" s="11"/>
      <c r="CP84" s="11"/>
      <c r="CQ84" s="11"/>
      <c r="CR84" s="11"/>
      <c r="CS84" s="11"/>
      <c r="CT84" s="11"/>
      <c r="CU84" s="11"/>
      <c r="CV84" s="11"/>
      <c r="CW84" s="11"/>
      <c r="CX84" s="11"/>
      <c r="CY84" s="11"/>
      <c r="CZ84" s="11"/>
      <c r="DA84" s="11"/>
      <c r="DB84" s="11"/>
      <c r="DC84" s="11"/>
      <c r="DD84" s="11"/>
      <c r="DE84" s="11"/>
      <c r="DF84" s="11"/>
      <c r="DG84" s="11"/>
      <c r="DH84" s="11"/>
      <c r="DI84" s="11"/>
      <c r="DJ84" s="11"/>
      <c r="DK84" s="11"/>
      <c r="DL84" s="11"/>
      <c r="DM84" s="11"/>
      <c r="DN84" s="11"/>
      <c r="DO84" s="11"/>
    </row>
    <row r="85" spans="1:119" s="9" customFormat="1" ht="11.25" customHeight="1">
      <c r="A85" s="24" t="str">
        <f>"1.72"</f>
        <v>1.72</v>
      </c>
      <c r="B85" s="25" t="str">
        <f>"г. Кириллов, ул. Парышкинская, д.67"</f>
        <v>г. Кириллов, ул. Парышкинская, д.67</v>
      </c>
      <c r="C85" s="26" t="str">
        <f>"1979"</f>
        <v>1979</v>
      </c>
      <c r="D85" s="27" t="str">
        <f>"2010"</f>
        <v>2010</v>
      </c>
      <c r="E85" s="27" t="str">
        <f>"15,00"</f>
        <v>15,00</v>
      </c>
      <c r="F85" s="27" t="str">
        <f>"2032-2034"</f>
        <v>2032-2034</v>
      </c>
      <c r="G85" s="27" t="str">
        <f t="shared" si="68"/>
        <v>да</v>
      </c>
      <c r="H85" s="27" t="str">
        <f>"2010"</f>
        <v>2010</v>
      </c>
      <c r="I85" s="27" t="str">
        <f>"19,00"</f>
        <v>19,00</v>
      </c>
      <c r="J85" s="27" t="str">
        <f>"2026-2028"</f>
        <v>2026-2028</v>
      </c>
      <c r="K85" s="27" t="str">
        <f t="shared" si="75"/>
        <v>нет</v>
      </c>
      <c r="L85" s="27" t="str">
        <f>""</f>
        <v/>
      </c>
      <c r="M85" s="27" t="str">
        <f>""</f>
        <v/>
      </c>
      <c r="N85" s="27" t="str">
        <f>""</f>
        <v/>
      </c>
      <c r="O85" s="28" t="str">
        <f>"2010"</f>
        <v>2010</v>
      </c>
      <c r="P85" s="27" t="str">
        <f>"12,00"</f>
        <v>12,00</v>
      </c>
      <c r="Q85" s="27" t="str">
        <f>"2035-2037"</f>
        <v>2035-2037</v>
      </c>
      <c r="R85" s="27" t="str">
        <f t="shared" si="83"/>
        <v>да</v>
      </c>
      <c r="S85" s="27" t="str">
        <f>"2010"</f>
        <v>2010</v>
      </c>
      <c r="T85" s="27" t="str">
        <f>"19,00"</f>
        <v>19,00</v>
      </c>
      <c r="U85" s="27" t="str">
        <f>"2026-2028"</f>
        <v>2026-2028</v>
      </c>
      <c r="V85" s="27" t="str">
        <f t="shared" si="76"/>
        <v>нет</v>
      </c>
      <c r="W85" s="27" t="str">
        <f>""</f>
        <v/>
      </c>
      <c r="X85" s="27" t="str">
        <f>""</f>
        <v/>
      </c>
      <c r="Y85" s="29" t="str">
        <f>""</f>
        <v/>
      </c>
      <c r="Z85" s="27" t="str">
        <f t="shared" si="80"/>
        <v>х</v>
      </c>
      <c r="AA85" s="27" t="str">
        <f t="shared" ref="AA85:AB93" si="84">"х"</f>
        <v>х</v>
      </c>
      <c r="AB85" s="27" t="str">
        <f t="shared" si="84"/>
        <v>х</v>
      </c>
      <c r="AC85" s="27" t="str">
        <f t="shared" si="72"/>
        <v>нет</v>
      </c>
      <c r="AD85" s="27" t="str">
        <f t="shared" si="78"/>
        <v>х</v>
      </c>
      <c r="AE85" s="27" t="str">
        <f t="shared" si="78"/>
        <v>х</v>
      </c>
      <c r="AF85" s="27" t="str">
        <f t="shared" si="78"/>
        <v>х</v>
      </c>
      <c r="AG85" s="27" t="str">
        <f t="shared" si="73"/>
        <v>нет</v>
      </c>
      <c r="AH85" s="27" t="str">
        <f t="shared" si="79"/>
        <v>х</v>
      </c>
      <c r="AI85" s="27" t="str">
        <f t="shared" si="79"/>
        <v>х</v>
      </c>
      <c r="AJ85" s="27" t="str">
        <f t="shared" si="79"/>
        <v>х</v>
      </c>
      <c r="AK85" s="28" t="str">
        <f>"2010"</f>
        <v>2010</v>
      </c>
      <c r="AL85" s="27" t="str">
        <f>"10,00"</f>
        <v>10,00</v>
      </c>
      <c r="AM85" s="27" t="str">
        <f>"2043-2045"</f>
        <v>2043-2045</v>
      </c>
      <c r="AN85" s="30" t="str">
        <f>"да"</f>
        <v>да</v>
      </c>
      <c r="AO85" s="27" t="str">
        <f>"2010"</f>
        <v>2010</v>
      </c>
      <c r="AP85" s="27" t="str">
        <f>"50,00"</f>
        <v>50,00</v>
      </c>
      <c r="AQ85" s="27" t="str">
        <f>"2016-2018"</f>
        <v>2016-2018</v>
      </c>
      <c r="AR85" s="27" t="str">
        <f t="shared" si="69"/>
        <v>нет</v>
      </c>
      <c r="AS85" s="27" t="str">
        <f>""</f>
        <v/>
      </c>
      <c r="AT85" s="27" t="str">
        <f>""</f>
        <v/>
      </c>
      <c r="AU85" s="27" t="str">
        <f>""</f>
        <v/>
      </c>
      <c r="AV85" s="27" t="str">
        <f>"2010"</f>
        <v>2010</v>
      </c>
      <c r="AW85" s="27" t="str">
        <f>"6,00"</f>
        <v>6,00</v>
      </c>
      <c r="AX85" s="27" t="str">
        <f>"2045-2047"</f>
        <v>2045-2047</v>
      </c>
      <c r="AY85" s="27" t="str">
        <f t="shared" si="70"/>
        <v>нет</v>
      </c>
      <c r="AZ85" s="27" t="str">
        <f>""</f>
        <v/>
      </c>
      <c r="BA85" s="27" t="str">
        <f>""</f>
        <v/>
      </c>
      <c r="BB85" s="27" t="str">
        <f>""</f>
        <v/>
      </c>
      <c r="BC85" s="27" t="str">
        <f t="shared" si="71"/>
        <v>нет</v>
      </c>
      <c r="BD85" s="27" t="str">
        <f>""</f>
        <v/>
      </c>
      <c r="BE85" s="27" t="str">
        <f>""</f>
        <v/>
      </c>
      <c r="BF85" s="27" t="str">
        <f>""</f>
        <v/>
      </c>
      <c r="BG85" s="27" t="str">
        <f>""</f>
        <v/>
      </c>
      <c r="BH85" s="27" t="str">
        <f>"20,00"</f>
        <v>20,00</v>
      </c>
      <c r="BI85" s="27" t="str">
        <f>"2026-2028"</f>
        <v>2026-2028</v>
      </c>
      <c r="BJ85" s="27" t="str">
        <f t="shared" si="81"/>
        <v>нет</v>
      </c>
      <c r="BK85" s="27" t="str">
        <f t="shared" si="74"/>
        <v>x</v>
      </c>
      <c r="BL85" s="27" t="str">
        <f>"6,00"</f>
        <v>6,00</v>
      </c>
      <c r="BM85" s="27" t="str">
        <f>"2021-2023"</f>
        <v>2021-2023</v>
      </c>
      <c r="BN85" s="27" t="str">
        <f>""</f>
        <v/>
      </c>
      <c r="BO85" s="27" t="str">
        <f>"10,00"</f>
        <v>10,00</v>
      </c>
      <c r="BP85" s="27" t="str">
        <f>"2025-2027"</f>
        <v>2025-2027</v>
      </c>
      <c r="BQ85" s="27" t="str">
        <f>""</f>
        <v/>
      </c>
      <c r="BR85" s="27" t="str">
        <f>"6,00"</f>
        <v>6,00</v>
      </c>
      <c r="BS85" s="27" t="str">
        <f>"2028-2030"</f>
        <v>2028-2030</v>
      </c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/>
      <c r="CM85" s="11"/>
      <c r="CN85" s="11"/>
      <c r="CO85" s="11"/>
      <c r="CP85" s="11"/>
      <c r="CQ85" s="11"/>
      <c r="CR85" s="11"/>
      <c r="CS85" s="11"/>
      <c r="CT85" s="11"/>
      <c r="CU85" s="11"/>
      <c r="CV85" s="11"/>
      <c r="CW85" s="11"/>
      <c r="CX85" s="11"/>
      <c r="CY85" s="11"/>
      <c r="CZ85" s="11"/>
      <c r="DA85" s="11"/>
      <c r="DB85" s="11"/>
      <c r="DC85" s="11"/>
      <c r="DD85" s="11"/>
      <c r="DE85" s="11"/>
      <c r="DF85" s="11"/>
      <c r="DG85" s="11"/>
      <c r="DH85" s="11"/>
      <c r="DI85" s="11"/>
      <c r="DJ85" s="11"/>
      <c r="DK85" s="11"/>
      <c r="DL85" s="11"/>
      <c r="DM85" s="11"/>
      <c r="DN85" s="11"/>
      <c r="DO85" s="11"/>
    </row>
    <row r="86" spans="1:119" s="10" customFormat="1" ht="11.25" customHeight="1">
      <c r="A86" s="24" t="str">
        <f>"1.73"</f>
        <v>1.73</v>
      </c>
      <c r="B86" s="25" t="str">
        <f>"г. Кириллов, ул. Парышкинская, д.87"</f>
        <v>г. Кириллов, ул. Парышкинская, д.87</v>
      </c>
      <c r="C86" s="26" t="str">
        <f>"2007"</f>
        <v>2007</v>
      </c>
      <c r="D86" s="27" t="str">
        <f>""</f>
        <v/>
      </c>
      <c r="E86" s="27" t="str">
        <f>"30,00"</f>
        <v>30,00</v>
      </c>
      <c r="F86" s="27" t="str">
        <f>"2034-2036"</f>
        <v>2034-2036</v>
      </c>
      <c r="G86" s="27" t="str">
        <f>"нет"</f>
        <v>нет</v>
      </c>
      <c r="H86" s="27" t="str">
        <f>""</f>
        <v/>
      </c>
      <c r="I86" s="27" t="str">
        <f>""</f>
        <v/>
      </c>
      <c r="J86" s="27" t="str">
        <f>""</f>
        <v/>
      </c>
      <c r="K86" s="27" t="str">
        <f t="shared" si="75"/>
        <v>нет</v>
      </c>
      <c r="L86" s="27" t="str">
        <f>""</f>
        <v/>
      </c>
      <c r="M86" s="27" t="str">
        <f>""</f>
        <v/>
      </c>
      <c r="N86" s="27" t="str">
        <f>""</f>
        <v/>
      </c>
      <c r="O86" s="28" t="str">
        <f>""</f>
        <v/>
      </c>
      <c r="P86" s="27" t="str">
        <f>"24,00"</f>
        <v>24,00</v>
      </c>
      <c r="Q86" s="27" t="str">
        <f>"2034-2036"</f>
        <v>2034-2036</v>
      </c>
      <c r="R86" s="27" t="str">
        <f>"нет"</f>
        <v>нет</v>
      </c>
      <c r="S86" s="27" t="str">
        <f>""</f>
        <v/>
      </c>
      <c r="T86" s="27" t="str">
        <f>""</f>
        <v/>
      </c>
      <c r="U86" s="27" t="str">
        <f>""</f>
        <v/>
      </c>
      <c r="V86" s="27" t="str">
        <f t="shared" si="76"/>
        <v>нет</v>
      </c>
      <c r="W86" s="27" t="str">
        <f>""</f>
        <v/>
      </c>
      <c r="X86" s="27" t="str">
        <f>""</f>
        <v/>
      </c>
      <c r="Y86" s="29" t="str">
        <f>""</f>
        <v/>
      </c>
      <c r="Z86" s="27" t="str">
        <f t="shared" si="80"/>
        <v>х</v>
      </c>
      <c r="AA86" s="27" t="str">
        <f t="shared" si="84"/>
        <v>х</v>
      </c>
      <c r="AB86" s="27" t="str">
        <f t="shared" si="84"/>
        <v>х</v>
      </c>
      <c r="AC86" s="27" t="str">
        <f t="shared" si="72"/>
        <v>нет</v>
      </c>
      <c r="AD86" s="27" t="str">
        <f t="shared" si="78"/>
        <v>х</v>
      </c>
      <c r="AE86" s="27" t="str">
        <f t="shared" si="78"/>
        <v>х</v>
      </c>
      <c r="AF86" s="27" t="str">
        <f t="shared" si="78"/>
        <v>х</v>
      </c>
      <c r="AG86" s="27" t="str">
        <f t="shared" si="73"/>
        <v>нет</v>
      </c>
      <c r="AH86" s="27" t="str">
        <f t="shared" si="79"/>
        <v>х</v>
      </c>
      <c r="AI86" s="27" t="str">
        <f t="shared" si="79"/>
        <v>х</v>
      </c>
      <c r="AJ86" s="27" t="str">
        <f t="shared" si="79"/>
        <v>х</v>
      </c>
      <c r="AK86" s="28" t="str">
        <f>""</f>
        <v/>
      </c>
      <c r="AL86" s="27" t="str">
        <f>"20,00"</f>
        <v>20,00</v>
      </c>
      <c r="AM86" s="27" t="str">
        <f>"2037-2039"</f>
        <v>2037-2039</v>
      </c>
      <c r="AN86" s="30" t="str">
        <f>"нет"</f>
        <v>нет</v>
      </c>
      <c r="AO86" s="27" t="str">
        <f>""</f>
        <v/>
      </c>
      <c r="AP86" s="27" t="str">
        <f>""</f>
        <v/>
      </c>
      <c r="AQ86" s="27" t="str">
        <f>""</f>
        <v/>
      </c>
      <c r="AR86" s="27" t="str">
        <f t="shared" si="69"/>
        <v>нет</v>
      </c>
      <c r="AS86" s="27" t="str">
        <f>""</f>
        <v/>
      </c>
      <c r="AT86" s="27" t="str">
        <f>""</f>
        <v/>
      </c>
      <c r="AU86" s="27" t="str">
        <f>""</f>
        <v/>
      </c>
      <c r="AV86" s="27" t="str">
        <f>""</f>
        <v/>
      </c>
      <c r="AW86" s="27" t="str">
        <f>"12,00"</f>
        <v>12,00</v>
      </c>
      <c r="AX86" s="27" t="str">
        <f>"2045-2047"</f>
        <v>2045-2047</v>
      </c>
      <c r="AY86" s="27" t="str">
        <f t="shared" si="70"/>
        <v>нет</v>
      </c>
      <c r="AZ86" s="27" t="str">
        <f>""</f>
        <v/>
      </c>
      <c r="BA86" s="27" t="str">
        <f>""</f>
        <v/>
      </c>
      <c r="BB86" s="27" t="str">
        <f>""</f>
        <v/>
      </c>
      <c r="BC86" s="27" t="str">
        <f t="shared" si="71"/>
        <v>нет</v>
      </c>
      <c r="BD86" s="27" t="str">
        <f>""</f>
        <v/>
      </c>
      <c r="BE86" s="27" t="str">
        <f>""</f>
        <v/>
      </c>
      <c r="BF86" s="27" t="str">
        <f>""</f>
        <v/>
      </c>
      <c r="BG86" s="27" t="str">
        <f>""</f>
        <v/>
      </c>
      <c r="BH86" s="27" t="str">
        <f>"30,00"</f>
        <v>30,00</v>
      </c>
      <c r="BI86" s="27" t="str">
        <f>"2041-2043"</f>
        <v>2041-2043</v>
      </c>
      <c r="BJ86" s="27" t="str">
        <f t="shared" si="81"/>
        <v>нет</v>
      </c>
      <c r="BK86" s="27" t="str">
        <f t="shared" si="74"/>
        <v>x</v>
      </c>
      <c r="BL86" s="27" t="str">
        <f>"12,00"</f>
        <v>12,00</v>
      </c>
      <c r="BM86" s="27" t="str">
        <f>"2045-2047"</f>
        <v>2045-2047</v>
      </c>
      <c r="BN86" s="27" t="str">
        <f>""</f>
        <v/>
      </c>
      <c r="BO86" s="27" t="str">
        <f>"12,00"</f>
        <v>12,00</v>
      </c>
      <c r="BP86" s="27" t="str">
        <f>"2037-2039"</f>
        <v>2037-2039</v>
      </c>
      <c r="BQ86" s="27" t="str">
        <f>""</f>
        <v/>
      </c>
      <c r="BR86" s="27" t="str">
        <f>"12,00"</f>
        <v>12,00</v>
      </c>
      <c r="BS86" s="27" t="str">
        <f>"2045-2047"</f>
        <v>2045-2047</v>
      </c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  <c r="CO86" s="11"/>
      <c r="CP86" s="11"/>
      <c r="CQ86" s="11"/>
      <c r="CR86" s="11"/>
      <c r="CS86" s="11"/>
      <c r="CT86" s="11"/>
      <c r="CU86" s="11"/>
      <c r="CV86" s="11"/>
      <c r="CW86" s="11"/>
      <c r="CX86" s="11"/>
      <c r="CY86" s="11"/>
      <c r="CZ86" s="11"/>
      <c r="DA86" s="11"/>
      <c r="DB86" s="11"/>
      <c r="DC86" s="11"/>
      <c r="DD86" s="11"/>
      <c r="DE86" s="11"/>
      <c r="DF86" s="11"/>
      <c r="DG86" s="11"/>
      <c r="DH86" s="11"/>
      <c r="DI86" s="11"/>
      <c r="DJ86" s="11"/>
      <c r="DK86" s="11"/>
      <c r="DL86" s="11"/>
      <c r="DM86" s="11"/>
      <c r="DN86" s="11"/>
      <c r="DO86" s="11"/>
    </row>
    <row r="87" spans="1:119" s="9" customFormat="1" ht="11.25" customHeight="1">
      <c r="A87" s="24" t="str">
        <f>"1.74"</f>
        <v>1.74</v>
      </c>
      <c r="B87" s="25" t="str">
        <f>"г. Кириллов, ул. Парышкинская, д.88"</f>
        <v>г. Кириллов, ул. Парышкинская, д.88</v>
      </c>
      <c r="C87" s="26" t="str">
        <f>"2009"</f>
        <v>2009</v>
      </c>
      <c r="D87" s="27" t="str">
        <f>""</f>
        <v/>
      </c>
      <c r="E87" s="27" t="str">
        <f>"20,00"</f>
        <v>20,00</v>
      </c>
      <c r="F87" s="27" t="str">
        <f>"2036-2038"</f>
        <v>2036-2038</v>
      </c>
      <c r="G87" s="27" t="str">
        <f>"да"</f>
        <v>да</v>
      </c>
      <c r="H87" s="27" t="str">
        <f>"2009"</f>
        <v>2009</v>
      </c>
      <c r="I87" s="27" t="str">
        <f>"25,00"</f>
        <v>25,00</v>
      </c>
      <c r="J87" s="27" t="str">
        <f>"2025-2027"</f>
        <v>2025-2027</v>
      </c>
      <c r="K87" s="27" t="str">
        <f t="shared" si="75"/>
        <v>нет</v>
      </c>
      <c r="L87" s="27" t="str">
        <f>""</f>
        <v/>
      </c>
      <c r="M87" s="27" t="str">
        <f>""</f>
        <v/>
      </c>
      <c r="N87" s="27" t="str">
        <f>""</f>
        <v/>
      </c>
      <c r="O87" s="28" t="str">
        <f>""</f>
        <v/>
      </c>
      <c r="P87" s="27" t="str">
        <f>"16,00"</f>
        <v>16,00</v>
      </c>
      <c r="Q87" s="27" t="str">
        <f>"2037-2039"</f>
        <v>2037-2039</v>
      </c>
      <c r="R87" s="27" t="str">
        <f>"да"</f>
        <v>да</v>
      </c>
      <c r="S87" s="27" t="str">
        <f>"2009"</f>
        <v>2009</v>
      </c>
      <c r="T87" s="27" t="str">
        <f>"16,00"</f>
        <v>16,00</v>
      </c>
      <c r="U87" s="27" t="str">
        <f>"2025-2027"</f>
        <v>2025-2027</v>
      </c>
      <c r="V87" s="27" t="str">
        <f t="shared" si="76"/>
        <v>нет</v>
      </c>
      <c r="W87" s="27" t="str">
        <f>""</f>
        <v/>
      </c>
      <c r="X87" s="27" t="str">
        <f>""</f>
        <v/>
      </c>
      <c r="Y87" s="29" t="str">
        <f>""</f>
        <v/>
      </c>
      <c r="Z87" s="27" t="str">
        <f t="shared" si="80"/>
        <v>х</v>
      </c>
      <c r="AA87" s="27" t="str">
        <f t="shared" si="84"/>
        <v>х</v>
      </c>
      <c r="AB87" s="27" t="str">
        <f t="shared" si="84"/>
        <v>х</v>
      </c>
      <c r="AC87" s="27" t="str">
        <f t="shared" si="72"/>
        <v>нет</v>
      </c>
      <c r="AD87" s="27" t="str">
        <f t="shared" si="78"/>
        <v>х</v>
      </c>
      <c r="AE87" s="27" t="str">
        <f t="shared" si="78"/>
        <v>х</v>
      </c>
      <c r="AF87" s="27" t="str">
        <f t="shared" si="78"/>
        <v>х</v>
      </c>
      <c r="AG87" s="27" t="str">
        <f t="shared" si="73"/>
        <v>нет</v>
      </c>
      <c r="AH87" s="27" t="str">
        <f t="shared" si="79"/>
        <v>х</v>
      </c>
      <c r="AI87" s="27" t="str">
        <f t="shared" si="79"/>
        <v>х</v>
      </c>
      <c r="AJ87" s="27" t="str">
        <f t="shared" si="79"/>
        <v>х</v>
      </c>
      <c r="AK87" s="28" t="str">
        <f>""</f>
        <v/>
      </c>
      <c r="AL87" s="27" t="str">
        <f>"13,00"</f>
        <v>13,00</v>
      </c>
      <c r="AM87" s="27" t="str">
        <f>"2039-2041"</f>
        <v>2039-2041</v>
      </c>
      <c r="AN87" s="30" t="str">
        <f>"да"</f>
        <v>да</v>
      </c>
      <c r="AO87" s="27" t="str">
        <f>"2009"</f>
        <v>2009</v>
      </c>
      <c r="AP87" s="27" t="str">
        <f>"60,00"</f>
        <v>60,00</v>
      </c>
      <c r="AQ87" s="27" t="str">
        <f>"2015-2017"</f>
        <v>2015-2017</v>
      </c>
      <c r="AR87" s="27" t="str">
        <f t="shared" si="69"/>
        <v>нет</v>
      </c>
      <c r="AS87" s="27" t="str">
        <f>""</f>
        <v/>
      </c>
      <c r="AT87" s="27" t="str">
        <f>""</f>
        <v/>
      </c>
      <c r="AU87" s="27" t="str">
        <f>""</f>
        <v/>
      </c>
      <c r="AV87" s="27" t="str">
        <f>""</f>
        <v/>
      </c>
      <c r="AW87" s="27" t="str">
        <f>"8,00"</f>
        <v>8,00</v>
      </c>
      <c r="AX87" s="27" t="str">
        <f>"2045-2047"</f>
        <v>2045-2047</v>
      </c>
      <c r="AY87" s="27" t="str">
        <f t="shared" si="70"/>
        <v>нет</v>
      </c>
      <c r="AZ87" s="27" t="str">
        <f>""</f>
        <v/>
      </c>
      <c r="BA87" s="27" t="str">
        <f>""</f>
        <v/>
      </c>
      <c r="BB87" s="27" t="str">
        <f>""</f>
        <v/>
      </c>
      <c r="BC87" s="27" t="str">
        <f t="shared" si="71"/>
        <v>нет</v>
      </c>
      <c r="BD87" s="27" t="str">
        <f>""</f>
        <v/>
      </c>
      <c r="BE87" s="27" t="str">
        <f>""</f>
        <v/>
      </c>
      <c r="BF87" s="27" t="str">
        <f>""</f>
        <v/>
      </c>
      <c r="BG87" s="27" t="str">
        <f>""</f>
        <v/>
      </c>
      <c r="BH87" s="27" t="str">
        <f>"26,00"</f>
        <v>26,00</v>
      </c>
      <c r="BI87" s="27" t="str">
        <f>"2041-2043"</f>
        <v>2041-2043</v>
      </c>
      <c r="BJ87" s="27" t="str">
        <f t="shared" si="81"/>
        <v>нет</v>
      </c>
      <c r="BK87" s="27" t="str">
        <f t="shared" si="74"/>
        <v>x</v>
      </c>
      <c r="BL87" s="27" t="str">
        <f>"8,00"</f>
        <v>8,00</v>
      </c>
      <c r="BM87" s="27" t="str">
        <f>"2045-2047"</f>
        <v>2045-2047</v>
      </c>
      <c r="BN87" s="27" t="str">
        <f>""</f>
        <v/>
      </c>
      <c r="BO87" s="27" t="str">
        <f>"8,00"</f>
        <v>8,00</v>
      </c>
      <c r="BP87" s="27" t="str">
        <f>"2039-2041"</f>
        <v>2039-2041</v>
      </c>
      <c r="BQ87" s="27" t="str">
        <f>""</f>
        <v/>
      </c>
      <c r="BR87" s="27" t="str">
        <f>"8,00"</f>
        <v>8,00</v>
      </c>
      <c r="BS87" s="27" t="str">
        <f>"2045-2047"</f>
        <v>2045-2047</v>
      </c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1"/>
      <c r="CE87" s="11"/>
      <c r="CF87" s="11"/>
      <c r="CG87" s="11"/>
      <c r="CH87" s="11"/>
      <c r="CI87" s="11"/>
      <c r="CJ87" s="11"/>
      <c r="CK87" s="11"/>
      <c r="CL87" s="11"/>
      <c r="CM87" s="11"/>
      <c r="CN87" s="11"/>
      <c r="CO87" s="11"/>
      <c r="CP87" s="11"/>
      <c r="CQ87" s="11"/>
      <c r="CR87" s="11"/>
      <c r="CS87" s="11"/>
      <c r="CT87" s="11"/>
      <c r="CU87" s="11"/>
      <c r="CV87" s="11"/>
      <c r="CW87" s="11"/>
      <c r="CX87" s="11"/>
      <c r="CY87" s="11"/>
      <c r="CZ87" s="11"/>
      <c r="DA87" s="11"/>
      <c r="DB87" s="11"/>
      <c r="DC87" s="11"/>
      <c r="DD87" s="11"/>
      <c r="DE87" s="11"/>
      <c r="DF87" s="11"/>
      <c r="DG87" s="11"/>
      <c r="DH87" s="11"/>
      <c r="DI87" s="11"/>
      <c r="DJ87" s="11"/>
      <c r="DK87" s="11"/>
      <c r="DL87" s="11"/>
      <c r="DM87" s="11"/>
      <c r="DN87" s="11"/>
      <c r="DO87" s="11"/>
    </row>
    <row r="88" spans="1:119" s="9" customFormat="1" ht="11.25" customHeight="1">
      <c r="A88" s="24" t="str">
        <f>"1.75"</f>
        <v>1.75</v>
      </c>
      <c r="B88" s="25" t="str">
        <f>"г. Кириллов, ул. Парышкинская, д.89"</f>
        <v>г. Кириллов, ул. Парышкинская, д.89</v>
      </c>
      <c r="C88" s="26" t="str">
        <f>"2010"</f>
        <v>2010</v>
      </c>
      <c r="D88" s="27" t="str">
        <f>""</f>
        <v/>
      </c>
      <c r="E88" s="27" t="str">
        <f>"15,00"</f>
        <v>15,00</v>
      </c>
      <c r="F88" s="27" t="str">
        <f>"2036-2038"</f>
        <v>2036-2038</v>
      </c>
      <c r="G88" s="27" t="str">
        <f>"да"</f>
        <v>да</v>
      </c>
      <c r="H88" s="27" t="str">
        <f>"2010"</f>
        <v>2010</v>
      </c>
      <c r="I88" s="27" t="str">
        <f>"19,00"</f>
        <v>19,00</v>
      </c>
      <c r="J88" s="27" t="str">
        <f>"2026-2028"</f>
        <v>2026-2028</v>
      </c>
      <c r="K88" s="27" t="str">
        <f t="shared" si="75"/>
        <v>нет</v>
      </c>
      <c r="L88" s="27" t="str">
        <f>""</f>
        <v/>
      </c>
      <c r="M88" s="27" t="str">
        <f>""</f>
        <v/>
      </c>
      <c r="N88" s="27" t="str">
        <f>""</f>
        <v/>
      </c>
      <c r="O88" s="28" t="str">
        <f>""</f>
        <v/>
      </c>
      <c r="P88" s="27" t="str">
        <f>"12,00"</f>
        <v>12,00</v>
      </c>
      <c r="Q88" s="27" t="str">
        <f>"2037-2039"</f>
        <v>2037-2039</v>
      </c>
      <c r="R88" s="27" t="str">
        <f>"да"</f>
        <v>да</v>
      </c>
      <c r="S88" s="27" t="str">
        <f>"2010"</f>
        <v>2010</v>
      </c>
      <c r="T88" s="27" t="str">
        <f>"19,00"</f>
        <v>19,00</v>
      </c>
      <c r="U88" s="27" t="str">
        <f>"2026-2028"</f>
        <v>2026-2028</v>
      </c>
      <c r="V88" s="27" t="str">
        <f t="shared" si="76"/>
        <v>нет</v>
      </c>
      <c r="W88" s="27" t="str">
        <f>""</f>
        <v/>
      </c>
      <c r="X88" s="27" t="str">
        <f>""</f>
        <v/>
      </c>
      <c r="Y88" s="29" t="str">
        <f>""</f>
        <v/>
      </c>
      <c r="Z88" s="27" t="str">
        <f t="shared" si="80"/>
        <v>х</v>
      </c>
      <c r="AA88" s="27" t="str">
        <f t="shared" si="84"/>
        <v>х</v>
      </c>
      <c r="AB88" s="27" t="str">
        <f t="shared" si="84"/>
        <v>х</v>
      </c>
      <c r="AC88" s="27" t="str">
        <f t="shared" si="72"/>
        <v>нет</v>
      </c>
      <c r="AD88" s="27" t="str">
        <f t="shared" si="78"/>
        <v>х</v>
      </c>
      <c r="AE88" s="27" t="str">
        <f t="shared" si="78"/>
        <v>х</v>
      </c>
      <c r="AF88" s="27" t="str">
        <f t="shared" si="78"/>
        <v>х</v>
      </c>
      <c r="AG88" s="27" t="str">
        <f t="shared" si="73"/>
        <v>нет</v>
      </c>
      <c r="AH88" s="27" t="str">
        <f t="shared" si="79"/>
        <v>х</v>
      </c>
      <c r="AI88" s="27" t="str">
        <f t="shared" si="79"/>
        <v>х</v>
      </c>
      <c r="AJ88" s="27" t="str">
        <f t="shared" si="79"/>
        <v>х</v>
      </c>
      <c r="AK88" s="28" t="str">
        <f>""</f>
        <v/>
      </c>
      <c r="AL88" s="27" t="str">
        <f>"10,00"</f>
        <v>10,00</v>
      </c>
      <c r="AM88" s="27" t="str">
        <f>"2040-2042"</f>
        <v>2040-2042</v>
      </c>
      <c r="AN88" s="30" t="str">
        <f>"да"</f>
        <v>да</v>
      </c>
      <c r="AO88" s="27" t="str">
        <f>"2010"</f>
        <v>2010</v>
      </c>
      <c r="AP88" s="27" t="str">
        <f>"50,00"</f>
        <v>50,00</v>
      </c>
      <c r="AQ88" s="27" t="str">
        <f>"2016-2018"</f>
        <v>2016-2018</v>
      </c>
      <c r="AR88" s="27" t="str">
        <f t="shared" si="69"/>
        <v>нет</v>
      </c>
      <c r="AS88" s="27" t="str">
        <f>""</f>
        <v/>
      </c>
      <c r="AT88" s="27" t="str">
        <f>""</f>
        <v/>
      </c>
      <c r="AU88" s="27" t="str">
        <f>""</f>
        <v/>
      </c>
      <c r="AV88" s="27" t="str">
        <f>""</f>
        <v/>
      </c>
      <c r="AW88" s="27" t="str">
        <f>"6,00"</f>
        <v>6,00</v>
      </c>
      <c r="AX88" s="27" t="str">
        <f>"2045-2047"</f>
        <v>2045-2047</v>
      </c>
      <c r="AY88" s="27" t="str">
        <f t="shared" si="70"/>
        <v>нет</v>
      </c>
      <c r="AZ88" s="27" t="str">
        <f>""</f>
        <v/>
      </c>
      <c r="BA88" s="27" t="str">
        <f>""</f>
        <v/>
      </c>
      <c r="BB88" s="27" t="str">
        <f>""</f>
        <v/>
      </c>
      <c r="BC88" s="27" t="str">
        <f t="shared" si="71"/>
        <v>нет</v>
      </c>
      <c r="BD88" s="27" t="str">
        <f>""</f>
        <v/>
      </c>
      <c r="BE88" s="27" t="str">
        <f>""</f>
        <v/>
      </c>
      <c r="BF88" s="27" t="str">
        <f>""</f>
        <v/>
      </c>
      <c r="BG88" s="27" t="str">
        <f>""</f>
        <v/>
      </c>
      <c r="BH88" s="27" t="str">
        <f>"20,00"</f>
        <v>20,00</v>
      </c>
      <c r="BI88" s="27" t="str">
        <f>"2041-2043"</f>
        <v>2041-2043</v>
      </c>
      <c r="BJ88" s="27" t="str">
        <f t="shared" si="81"/>
        <v>нет</v>
      </c>
      <c r="BK88" s="27" t="str">
        <f t="shared" si="74"/>
        <v>x</v>
      </c>
      <c r="BL88" s="27" t="str">
        <f>"6,00"</f>
        <v>6,00</v>
      </c>
      <c r="BM88" s="27" t="str">
        <f>"2045-2047"</f>
        <v>2045-2047</v>
      </c>
      <c r="BN88" s="27" t="str">
        <f>""</f>
        <v/>
      </c>
      <c r="BO88" s="27" t="str">
        <f>"6,00"</f>
        <v>6,00</v>
      </c>
      <c r="BP88" s="27" t="str">
        <f>"2040-2042"</f>
        <v>2040-2042</v>
      </c>
      <c r="BQ88" s="27" t="str">
        <f>""</f>
        <v/>
      </c>
      <c r="BR88" s="27" t="str">
        <f>"6,00"</f>
        <v>6,00</v>
      </c>
      <c r="BS88" s="27" t="str">
        <f>"2045-2047"</f>
        <v>2045-2047</v>
      </c>
      <c r="BT88" s="11"/>
      <c r="BU88" s="11"/>
      <c r="BV88" s="11"/>
      <c r="BW88" s="11"/>
      <c r="BX88" s="11"/>
      <c r="BY88" s="11"/>
      <c r="BZ88" s="11"/>
      <c r="CA88" s="11"/>
      <c r="CB88" s="11"/>
      <c r="CC88" s="11"/>
      <c r="CD88" s="11"/>
      <c r="CE88" s="11"/>
      <c r="CF88" s="11"/>
      <c r="CG88" s="11"/>
      <c r="CH88" s="11"/>
      <c r="CI88" s="11"/>
      <c r="CJ88" s="11"/>
      <c r="CK88" s="11"/>
      <c r="CL88" s="11"/>
      <c r="CM88" s="11"/>
      <c r="CN88" s="11"/>
      <c r="CO88" s="11"/>
      <c r="CP88" s="11"/>
      <c r="CQ88" s="11"/>
      <c r="CR88" s="11"/>
      <c r="CS88" s="11"/>
      <c r="CT88" s="11"/>
      <c r="CU88" s="11"/>
      <c r="CV88" s="11"/>
      <c r="CW88" s="11"/>
      <c r="CX88" s="11"/>
      <c r="CY88" s="11"/>
      <c r="CZ88" s="11"/>
      <c r="DA88" s="11"/>
      <c r="DB88" s="11"/>
      <c r="DC88" s="11"/>
      <c r="DD88" s="11"/>
      <c r="DE88" s="11"/>
      <c r="DF88" s="11"/>
      <c r="DG88" s="11"/>
      <c r="DH88" s="11"/>
      <c r="DI88" s="11"/>
      <c r="DJ88" s="11"/>
      <c r="DK88" s="11"/>
      <c r="DL88" s="11"/>
      <c r="DM88" s="11"/>
      <c r="DN88" s="11"/>
      <c r="DO88" s="11"/>
    </row>
    <row r="89" spans="1:119" s="9" customFormat="1" ht="11.25" customHeight="1">
      <c r="A89" s="24" t="str">
        <f>"1.76"</f>
        <v>1.76</v>
      </c>
      <c r="B89" s="25" t="str">
        <f>"г. Кириллов, ул. Парышкинская, д.91"</f>
        <v>г. Кириллов, ул. Парышкинская, д.91</v>
      </c>
      <c r="C89" s="26" t="str">
        <f>"2011"</f>
        <v>2011</v>
      </c>
      <c r="D89" s="27" t="str">
        <f>""</f>
        <v/>
      </c>
      <c r="E89" s="27" t="str">
        <f>"10,00"</f>
        <v>10,00</v>
      </c>
      <c r="F89" s="27" t="str">
        <f>"2036-2038"</f>
        <v>2036-2038</v>
      </c>
      <c r="G89" s="27" t="str">
        <f>"да"</f>
        <v>да</v>
      </c>
      <c r="H89" s="27" t="str">
        <f>"2011"</f>
        <v>2011</v>
      </c>
      <c r="I89" s="27" t="str">
        <f>"12,00"</f>
        <v>12,00</v>
      </c>
      <c r="J89" s="27" t="str">
        <f>"2027-2029"</f>
        <v>2027-2029</v>
      </c>
      <c r="K89" s="27" t="str">
        <f t="shared" si="75"/>
        <v>нет</v>
      </c>
      <c r="L89" s="27" t="str">
        <f>""</f>
        <v/>
      </c>
      <c r="M89" s="27" t="str">
        <f>""</f>
        <v/>
      </c>
      <c r="N89" s="27" t="str">
        <f>""</f>
        <v/>
      </c>
      <c r="O89" s="28" t="str">
        <f>""</f>
        <v/>
      </c>
      <c r="P89" s="27" t="str">
        <f>"8,00"</f>
        <v>8,00</v>
      </c>
      <c r="Q89" s="27" t="str">
        <f>"2036-2038"</f>
        <v>2036-2038</v>
      </c>
      <c r="R89" s="27" t="str">
        <f>"да"</f>
        <v>да</v>
      </c>
      <c r="S89" s="27" t="str">
        <f>"2011"</f>
        <v>2011</v>
      </c>
      <c r="T89" s="27" t="str">
        <f>"12,00"</f>
        <v>12,00</v>
      </c>
      <c r="U89" s="27" t="str">
        <f>"2027-2029"</f>
        <v>2027-2029</v>
      </c>
      <c r="V89" s="27" t="str">
        <f t="shared" si="76"/>
        <v>нет</v>
      </c>
      <c r="W89" s="27" t="str">
        <f>""</f>
        <v/>
      </c>
      <c r="X89" s="27" t="str">
        <f>""</f>
        <v/>
      </c>
      <c r="Y89" s="29" t="str">
        <f>""</f>
        <v/>
      </c>
      <c r="Z89" s="27" t="str">
        <f t="shared" si="80"/>
        <v>х</v>
      </c>
      <c r="AA89" s="27" t="str">
        <f t="shared" si="84"/>
        <v>х</v>
      </c>
      <c r="AB89" s="27" t="str">
        <f t="shared" si="84"/>
        <v>х</v>
      </c>
      <c r="AC89" s="27" t="str">
        <f t="shared" si="72"/>
        <v>нет</v>
      </c>
      <c r="AD89" s="27" t="str">
        <f t="shared" si="78"/>
        <v>х</v>
      </c>
      <c r="AE89" s="27" t="str">
        <f t="shared" si="78"/>
        <v>х</v>
      </c>
      <c r="AF89" s="27" t="str">
        <f t="shared" si="78"/>
        <v>х</v>
      </c>
      <c r="AG89" s="27" t="str">
        <f t="shared" si="73"/>
        <v>нет</v>
      </c>
      <c r="AH89" s="27" t="str">
        <f t="shared" si="79"/>
        <v>х</v>
      </c>
      <c r="AI89" s="27" t="str">
        <f t="shared" si="79"/>
        <v>х</v>
      </c>
      <c r="AJ89" s="27" t="str">
        <f t="shared" si="79"/>
        <v>х</v>
      </c>
      <c r="AK89" s="28" t="str">
        <f>""</f>
        <v/>
      </c>
      <c r="AL89" s="27" t="str">
        <f>"7,00"</f>
        <v>7,00</v>
      </c>
      <c r="AM89" s="27" t="str">
        <f>"2041-2043"</f>
        <v>2041-2043</v>
      </c>
      <c r="AN89" s="30" t="str">
        <f>"да"</f>
        <v>да</v>
      </c>
      <c r="AO89" s="27" t="str">
        <f>"2011"</f>
        <v>2011</v>
      </c>
      <c r="AP89" s="27" t="str">
        <f>"33,00"</f>
        <v>33,00</v>
      </c>
      <c r="AQ89" s="27" t="str">
        <f>"2017-2019"</f>
        <v>2017-2019</v>
      </c>
      <c r="AR89" s="27" t="str">
        <f t="shared" si="69"/>
        <v>нет</v>
      </c>
      <c r="AS89" s="27" t="str">
        <f>""</f>
        <v/>
      </c>
      <c r="AT89" s="27" t="str">
        <f>""</f>
        <v/>
      </c>
      <c r="AU89" s="27" t="str">
        <f>""</f>
        <v/>
      </c>
      <c r="AV89" s="27" t="str">
        <f>""</f>
        <v/>
      </c>
      <c r="AW89" s="27" t="str">
        <f>"4,00"</f>
        <v>4,00</v>
      </c>
      <c r="AX89" s="27" t="str">
        <f>"2045-2047"</f>
        <v>2045-2047</v>
      </c>
      <c r="AY89" s="27" t="str">
        <f t="shared" si="70"/>
        <v>нет</v>
      </c>
      <c r="AZ89" s="27" t="str">
        <f>""</f>
        <v/>
      </c>
      <c r="BA89" s="27" t="str">
        <f>""</f>
        <v/>
      </c>
      <c r="BB89" s="27" t="str">
        <f>""</f>
        <v/>
      </c>
      <c r="BC89" s="27" t="str">
        <f t="shared" si="71"/>
        <v>нет</v>
      </c>
      <c r="BD89" s="27" t="str">
        <f>""</f>
        <v/>
      </c>
      <c r="BE89" s="27" t="str">
        <f>""</f>
        <v/>
      </c>
      <c r="BF89" s="27" t="str">
        <f>""</f>
        <v/>
      </c>
      <c r="BG89" s="27" t="str">
        <f>""</f>
        <v/>
      </c>
      <c r="BH89" s="27" t="str">
        <f>"13,00"</f>
        <v>13,00</v>
      </c>
      <c r="BI89" s="27" t="str">
        <f>"2041-2043"</f>
        <v>2041-2043</v>
      </c>
      <c r="BJ89" s="27" t="str">
        <f t="shared" si="81"/>
        <v>нет</v>
      </c>
      <c r="BK89" s="27" t="str">
        <f t="shared" si="74"/>
        <v>x</v>
      </c>
      <c r="BL89" s="27" t="str">
        <f>"4,00"</f>
        <v>4,00</v>
      </c>
      <c r="BM89" s="27" t="str">
        <f>"2045-2047"</f>
        <v>2045-2047</v>
      </c>
      <c r="BN89" s="27" t="str">
        <f>""</f>
        <v/>
      </c>
      <c r="BO89" s="27" t="str">
        <f>"4,00"</f>
        <v>4,00</v>
      </c>
      <c r="BP89" s="27" t="str">
        <f>"2041-2043"</f>
        <v>2041-2043</v>
      </c>
      <c r="BQ89" s="27" t="str">
        <f>""</f>
        <v/>
      </c>
      <c r="BR89" s="27" t="str">
        <f>"4,00"</f>
        <v>4,00</v>
      </c>
      <c r="BS89" s="27" t="str">
        <f>"2045-2047"</f>
        <v>2045-2047</v>
      </c>
      <c r="BT89" s="11"/>
      <c r="BU89" s="11"/>
      <c r="BV89" s="11"/>
      <c r="BW89" s="11"/>
      <c r="BX89" s="11"/>
      <c r="BY89" s="11"/>
      <c r="BZ89" s="11"/>
      <c r="CA89" s="11"/>
      <c r="CB89" s="11"/>
      <c r="CC89" s="11"/>
      <c r="CD89" s="11"/>
      <c r="CE89" s="11"/>
      <c r="CF89" s="11"/>
      <c r="CG89" s="11"/>
      <c r="CH89" s="11"/>
      <c r="CI89" s="11"/>
      <c r="CJ89" s="11"/>
      <c r="CK89" s="11"/>
      <c r="CL89" s="11"/>
      <c r="CM89" s="11"/>
      <c r="CN89" s="11"/>
      <c r="CO89" s="11"/>
      <c r="CP89" s="11"/>
      <c r="CQ89" s="11"/>
      <c r="CR89" s="11"/>
      <c r="CS89" s="11"/>
      <c r="CT89" s="11"/>
      <c r="CU89" s="11"/>
      <c r="CV89" s="11"/>
      <c r="CW89" s="11"/>
      <c r="CX89" s="11"/>
      <c r="CY89" s="11"/>
      <c r="CZ89" s="11"/>
      <c r="DA89" s="11"/>
      <c r="DB89" s="11"/>
      <c r="DC89" s="11"/>
      <c r="DD89" s="11"/>
      <c r="DE89" s="11"/>
      <c r="DF89" s="11"/>
      <c r="DG89" s="11"/>
      <c r="DH89" s="11"/>
      <c r="DI89" s="11"/>
      <c r="DJ89" s="11"/>
      <c r="DK89" s="11"/>
      <c r="DL89" s="11"/>
      <c r="DM89" s="11"/>
      <c r="DN89" s="11"/>
      <c r="DO89" s="11"/>
    </row>
    <row r="90" spans="1:119" s="10" customFormat="1" ht="11.25" customHeight="1">
      <c r="A90" s="24" t="str">
        <f>"1.77"</f>
        <v>1.77</v>
      </c>
      <c r="B90" s="25" t="str">
        <f>"г. Кириллов, ул. Победы, д.18А"</f>
        <v>г. Кириллов, ул. Победы, д.18А</v>
      </c>
      <c r="C90" s="26" t="str">
        <f>"1999"</f>
        <v>1999</v>
      </c>
      <c r="D90" s="27" t="str">
        <f>""</f>
        <v/>
      </c>
      <c r="E90" s="27" t="str">
        <f>"70,00"</f>
        <v>70,00</v>
      </c>
      <c r="F90" s="27" t="str">
        <f>"2038-2040"</f>
        <v>2038-2040</v>
      </c>
      <c r="G90" s="27" t="str">
        <f>"нет"</f>
        <v>нет</v>
      </c>
      <c r="H90" s="27" t="str">
        <f>""</f>
        <v/>
      </c>
      <c r="I90" s="27" t="str">
        <f>""</f>
        <v/>
      </c>
      <c r="J90" s="27" t="str">
        <f>""</f>
        <v/>
      </c>
      <c r="K90" s="27" t="str">
        <f t="shared" si="75"/>
        <v>нет</v>
      </c>
      <c r="L90" s="27" t="str">
        <f>""</f>
        <v/>
      </c>
      <c r="M90" s="27" t="str">
        <f>""</f>
        <v/>
      </c>
      <c r="N90" s="27" t="str">
        <f>""</f>
        <v/>
      </c>
      <c r="O90" s="28" t="str">
        <f>""</f>
        <v/>
      </c>
      <c r="P90" s="27" t="str">
        <f>"56,00"</f>
        <v>56,00</v>
      </c>
      <c r="Q90" s="27" t="str">
        <f>"2028-2030"</f>
        <v>2028-2030</v>
      </c>
      <c r="R90" s="27" t="str">
        <f>"нет"</f>
        <v>нет</v>
      </c>
      <c r="S90" s="27" t="str">
        <f>""</f>
        <v/>
      </c>
      <c r="T90" s="27" t="str">
        <f>""</f>
        <v/>
      </c>
      <c r="U90" s="27" t="str">
        <f>""</f>
        <v/>
      </c>
      <c r="V90" s="27" t="str">
        <f t="shared" si="76"/>
        <v>нет</v>
      </c>
      <c r="W90" s="27" t="str">
        <f>""</f>
        <v/>
      </c>
      <c r="X90" s="27" t="str">
        <f>""</f>
        <v/>
      </c>
      <c r="Y90" s="29" t="str">
        <f>""</f>
        <v/>
      </c>
      <c r="Z90" s="27" t="str">
        <f t="shared" si="80"/>
        <v>х</v>
      </c>
      <c r="AA90" s="27" t="str">
        <f t="shared" si="84"/>
        <v>х</v>
      </c>
      <c r="AB90" s="27" t="str">
        <f t="shared" si="84"/>
        <v>х</v>
      </c>
      <c r="AC90" s="27" t="str">
        <f t="shared" si="72"/>
        <v>нет</v>
      </c>
      <c r="AD90" s="27" t="str">
        <f t="shared" si="78"/>
        <v>х</v>
      </c>
      <c r="AE90" s="27" t="str">
        <f t="shared" si="78"/>
        <v>х</v>
      </c>
      <c r="AF90" s="27" t="str">
        <f t="shared" si="78"/>
        <v>х</v>
      </c>
      <c r="AG90" s="27" t="str">
        <f t="shared" si="73"/>
        <v>нет</v>
      </c>
      <c r="AH90" s="27" t="str">
        <f t="shared" si="79"/>
        <v>х</v>
      </c>
      <c r="AI90" s="27" t="str">
        <f t="shared" si="79"/>
        <v>х</v>
      </c>
      <c r="AJ90" s="27" t="str">
        <f t="shared" si="79"/>
        <v>х</v>
      </c>
      <c r="AK90" s="28" t="str">
        <f>""</f>
        <v/>
      </c>
      <c r="AL90" s="27" t="str">
        <f>"46,00"</f>
        <v>46,00</v>
      </c>
      <c r="AM90" s="27" t="str">
        <f>"2031-2033"</f>
        <v>2031-2033</v>
      </c>
      <c r="AN90" s="30" t="str">
        <f>"нет"</f>
        <v>нет</v>
      </c>
      <c r="AO90" s="27" t="str">
        <f>""</f>
        <v/>
      </c>
      <c r="AP90" s="27" t="str">
        <f>""</f>
        <v/>
      </c>
      <c r="AQ90" s="27" t="str">
        <f>""</f>
        <v/>
      </c>
      <c r="AR90" s="27" t="str">
        <f t="shared" si="69"/>
        <v>нет</v>
      </c>
      <c r="AS90" s="27" t="str">
        <f>""</f>
        <v/>
      </c>
      <c r="AT90" s="27" t="str">
        <f>""</f>
        <v/>
      </c>
      <c r="AU90" s="27" t="str">
        <f>""</f>
        <v/>
      </c>
      <c r="AV90" s="27" t="str">
        <f>""</f>
        <v/>
      </c>
      <c r="AW90" s="27" t="str">
        <f>"28,00"</f>
        <v>28,00</v>
      </c>
      <c r="AX90" s="27" t="str">
        <f>"2039-2041"</f>
        <v>2039-2041</v>
      </c>
      <c r="AY90" s="27" t="str">
        <f t="shared" si="70"/>
        <v>нет</v>
      </c>
      <c r="AZ90" s="27" t="str">
        <f>""</f>
        <v/>
      </c>
      <c r="BA90" s="27" t="str">
        <f>""</f>
        <v/>
      </c>
      <c r="BB90" s="27" t="str">
        <f>""</f>
        <v/>
      </c>
      <c r="BC90" s="27" t="str">
        <f t="shared" si="71"/>
        <v>нет</v>
      </c>
      <c r="BD90" s="27" t="str">
        <f>""</f>
        <v/>
      </c>
      <c r="BE90" s="27" t="str">
        <f>""</f>
        <v/>
      </c>
      <c r="BF90" s="27" t="str">
        <f>""</f>
        <v/>
      </c>
      <c r="BG90" s="27" t="str">
        <f>""</f>
        <v/>
      </c>
      <c r="BH90" s="27" t="str">
        <f>"40,00"</f>
        <v>40,00</v>
      </c>
      <c r="BI90" s="27" t="str">
        <f>"2041-2043"</f>
        <v>2041-2043</v>
      </c>
      <c r="BJ90" s="27" t="str">
        <f t="shared" si="81"/>
        <v>нет</v>
      </c>
      <c r="BK90" s="27" t="str">
        <f t="shared" si="74"/>
        <v>x</v>
      </c>
      <c r="BL90" s="27" t="str">
        <f>"28,00"</f>
        <v>28,00</v>
      </c>
      <c r="BM90" s="27" t="str">
        <f>"2039-2041"</f>
        <v>2039-2041</v>
      </c>
      <c r="BN90" s="27" t="str">
        <f>""</f>
        <v/>
      </c>
      <c r="BO90" s="27" t="str">
        <f>"28,00"</f>
        <v>28,00</v>
      </c>
      <c r="BP90" s="27" t="str">
        <f>"2029-2031"</f>
        <v>2029-2031</v>
      </c>
      <c r="BQ90" s="27" t="str">
        <f>""</f>
        <v/>
      </c>
      <c r="BR90" s="27" t="str">
        <f>"28,00"</f>
        <v>28,00</v>
      </c>
      <c r="BS90" s="27" t="str">
        <f>"2039-2041"</f>
        <v>2039-2041</v>
      </c>
      <c r="BT90" s="11"/>
      <c r="BU90" s="11"/>
      <c r="BV90" s="11"/>
      <c r="BW90" s="11"/>
      <c r="BX90" s="11"/>
      <c r="BY90" s="11"/>
      <c r="BZ90" s="11"/>
      <c r="CA90" s="11"/>
      <c r="CB90" s="11"/>
      <c r="CC90" s="11"/>
      <c r="CD90" s="11"/>
      <c r="CE90" s="11"/>
      <c r="CF90" s="11"/>
      <c r="CG90" s="11"/>
      <c r="CH90" s="11"/>
      <c r="CI90" s="11"/>
      <c r="CJ90" s="11"/>
      <c r="CK90" s="11"/>
      <c r="CL90" s="11"/>
      <c r="CM90" s="11"/>
      <c r="CN90" s="11"/>
      <c r="CO90" s="11"/>
      <c r="CP90" s="11"/>
      <c r="CQ90" s="11"/>
      <c r="CR90" s="11"/>
      <c r="CS90" s="11"/>
      <c r="CT90" s="11"/>
      <c r="CU90" s="11"/>
      <c r="CV90" s="11"/>
      <c r="CW90" s="11"/>
      <c r="CX90" s="11"/>
      <c r="CY90" s="11"/>
      <c r="CZ90" s="11"/>
      <c r="DA90" s="11"/>
      <c r="DB90" s="11"/>
      <c r="DC90" s="11"/>
      <c r="DD90" s="11"/>
      <c r="DE90" s="11"/>
      <c r="DF90" s="11"/>
      <c r="DG90" s="11"/>
      <c r="DH90" s="11"/>
      <c r="DI90" s="11"/>
      <c r="DJ90" s="11"/>
      <c r="DK90" s="11"/>
      <c r="DL90" s="11"/>
      <c r="DM90" s="11"/>
      <c r="DN90" s="11"/>
      <c r="DO90" s="11"/>
    </row>
    <row r="91" spans="1:119" s="9" customFormat="1" ht="11.25" customHeight="1">
      <c r="A91" s="24" t="str">
        <f>"1.78"</f>
        <v>1.78</v>
      </c>
      <c r="B91" s="25" t="str">
        <f>"г. Кириллов, ул. Победы, д.22"</f>
        <v>г. Кириллов, ул. Победы, д.22</v>
      </c>
      <c r="C91" s="26" t="str">
        <f>"1987"</f>
        <v>1987</v>
      </c>
      <c r="D91" s="27" t="str">
        <f>""</f>
        <v/>
      </c>
      <c r="E91" s="27" t="str">
        <f>"60,00"</f>
        <v>60,00</v>
      </c>
      <c r="F91" s="27" t="str">
        <f>"2018-2020"</f>
        <v>2018-2020</v>
      </c>
      <c r="G91" s="27" t="str">
        <f t="shared" ref="G91:G126" si="85">"да"</f>
        <v>да</v>
      </c>
      <c r="H91" s="27" t="str">
        <f>"2009"</f>
        <v>2009</v>
      </c>
      <c r="I91" s="27" t="str">
        <f>"25,00"</f>
        <v>25,00</v>
      </c>
      <c r="J91" s="27" t="str">
        <f>"2025-2027"</f>
        <v>2025-2027</v>
      </c>
      <c r="K91" s="27" t="str">
        <f t="shared" si="75"/>
        <v>нет</v>
      </c>
      <c r="L91" s="27" t="str">
        <f>""</f>
        <v/>
      </c>
      <c r="M91" s="27" t="str">
        <f>""</f>
        <v/>
      </c>
      <c r="N91" s="27" t="str">
        <f>""</f>
        <v/>
      </c>
      <c r="O91" s="28" t="str">
        <f>""</f>
        <v/>
      </c>
      <c r="P91" s="27" t="str">
        <f>"70,00"</f>
        <v>70,00</v>
      </c>
      <c r="Q91" s="27" t="str">
        <f>"2026-2028"</f>
        <v>2026-2028</v>
      </c>
      <c r="R91" s="27" t="str">
        <f>"нет"</f>
        <v>нет</v>
      </c>
      <c r="S91" s="27" t="str">
        <f>""</f>
        <v/>
      </c>
      <c r="T91" s="27" t="str">
        <f>""</f>
        <v/>
      </c>
      <c r="U91" s="27" t="str">
        <f>""</f>
        <v/>
      </c>
      <c r="V91" s="27" t="str">
        <f t="shared" si="76"/>
        <v>нет</v>
      </c>
      <c r="W91" s="27" t="str">
        <f>""</f>
        <v/>
      </c>
      <c r="X91" s="27" t="str">
        <f>""</f>
        <v/>
      </c>
      <c r="Y91" s="29" t="str">
        <f>""</f>
        <v/>
      </c>
      <c r="Z91" s="27" t="str">
        <f t="shared" si="80"/>
        <v>х</v>
      </c>
      <c r="AA91" s="27" t="str">
        <f t="shared" si="84"/>
        <v>х</v>
      </c>
      <c r="AB91" s="27" t="str">
        <f t="shared" si="84"/>
        <v>х</v>
      </c>
      <c r="AC91" s="27" t="str">
        <f t="shared" si="72"/>
        <v>нет</v>
      </c>
      <c r="AD91" s="27" t="str">
        <f t="shared" si="78"/>
        <v>х</v>
      </c>
      <c r="AE91" s="27" t="str">
        <f t="shared" si="78"/>
        <v>х</v>
      </c>
      <c r="AF91" s="27" t="str">
        <f t="shared" si="78"/>
        <v>х</v>
      </c>
      <c r="AG91" s="27" t="str">
        <f t="shared" si="73"/>
        <v>нет</v>
      </c>
      <c r="AH91" s="27" t="str">
        <f t="shared" si="79"/>
        <v>х</v>
      </c>
      <c r="AI91" s="27" t="str">
        <f t="shared" si="79"/>
        <v>х</v>
      </c>
      <c r="AJ91" s="27" t="str">
        <f t="shared" si="79"/>
        <v>х</v>
      </c>
      <c r="AK91" s="28" t="str">
        <f>""</f>
        <v/>
      </c>
      <c r="AL91" s="27" t="str">
        <f>"80,00"</f>
        <v>80,00</v>
      </c>
      <c r="AM91" s="27" t="str">
        <f>"2031-2033"</f>
        <v>2031-2033</v>
      </c>
      <c r="AN91" s="30">
        <v>2015</v>
      </c>
      <c r="AO91" s="27" t="str">
        <f>""</f>
        <v/>
      </c>
      <c r="AP91" s="27" t="str">
        <f>""</f>
        <v/>
      </c>
      <c r="AQ91" s="27">
        <v>2030</v>
      </c>
      <c r="AR91" s="27" t="str">
        <f t="shared" si="69"/>
        <v>нет</v>
      </c>
      <c r="AS91" s="27" t="str">
        <f>""</f>
        <v/>
      </c>
      <c r="AT91" s="27" t="str">
        <f>""</f>
        <v/>
      </c>
      <c r="AU91" s="27" t="str">
        <f>""</f>
        <v/>
      </c>
      <c r="AV91" s="27" t="str">
        <f>""</f>
        <v/>
      </c>
      <c r="AW91" s="27" t="str">
        <f>"52,00"</f>
        <v>52,00</v>
      </c>
      <c r="AX91" s="27" t="str">
        <f>"2017-2019"</f>
        <v>2017-2019</v>
      </c>
      <c r="AY91" s="27" t="str">
        <f t="shared" si="70"/>
        <v>нет</v>
      </c>
      <c r="AZ91" s="27" t="str">
        <f>""</f>
        <v/>
      </c>
      <c r="BA91" s="27" t="str">
        <f>""</f>
        <v/>
      </c>
      <c r="BB91" s="27" t="str">
        <f>""</f>
        <v/>
      </c>
      <c r="BC91" s="27" t="str">
        <f t="shared" si="71"/>
        <v>нет</v>
      </c>
      <c r="BD91" s="27" t="str">
        <f>""</f>
        <v/>
      </c>
      <c r="BE91" s="27" t="str">
        <f>""</f>
        <v/>
      </c>
      <c r="BF91" s="27" t="str">
        <f>""</f>
        <v/>
      </c>
      <c r="BG91" s="27" t="str">
        <f>""</f>
        <v/>
      </c>
      <c r="BH91" s="27" t="str">
        <f>"70,00"</f>
        <v>70,00</v>
      </c>
      <c r="BI91" s="27" t="str">
        <f>"2023-2025"</f>
        <v>2023-2025</v>
      </c>
      <c r="BJ91" s="27" t="str">
        <f t="shared" si="81"/>
        <v>нет</v>
      </c>
      <c r="BK91" s="27" t="str">
        <f t="shared" si="74"/>
        <v>x</v>
      </c>
      <c r="BL91" s="27" t="str">
        <f>"52,00"</f>
        <v>52,00</v>
      </c>
      <c r="BM91" s="27" t="str">
        <f>"2025-2027"</f>
        <v>2025-2027</v>
      </c>
      <c r="BN91" s="27" t="str">
        <f>""</f>
        <v/>
      </c>
      <c r="BO91" s="27" t="str">
        <f>"55,00"</f>
        <v>55,00</v>
      </c>
      <c r="BP91" s="27" t="str">
        <f>"2033-2035"</f>
        <v>2033-2035</v>
      </c>
      <c r="BQ91" s="27" t="str">
        <f>""</f>
        <v/>
      </c>
      <c r="BR91" s="27" t="str">
        <f>"52,00"</f>
        <v>52,00</v>
      </c>
      <c r="BS91" s="27" t="str">
        <f>"2025-2027"</f>
        <v>2025-2027</v>
      </c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/>
      <c r="CF91" s="11"/>
      <c r="CG91" s="11"/>
      <c r="CH91" s="11"/>
      <c r="CI91" s="11"/>
      <c r="CJ91" s="11"/>
      <c r="CK91" s="11"/>
      <c r="CL91" s="11"/>
      <c r="CM91" s="11"/>
      <c r="CN91" s="11"/>
      <c r="CO91" s="11"/>
      <c r="CP91" s="11"/>
      <c r="CQ91" s="11"/>
      <c r="CR91" s="11"/>
      <c r="CS91" s="11"/>
      <c r="CT91" s="11"/>
      <c r="CU91" s="11"/>
      <c r="CV91" s="11"/>
      <c r="CW91" s="11"/>
      <c r="CX91" s="11"/>
      <c r="CY91" s="11"/>
      <c r="CZ91" s="11"/>
      <c r="DA91" s="11"/>
      <c r="DB91" s="11"/>
      <c r="DC91" s="11"/>
      <c r="DD91" s="11"/>
      <c r="DE91" s="11"/>
      <c r="DF91" s="11"/>
      <c r="DG91" s="11"/>
      <c r="DH91" s="11"/>
      <c r="DI91" s="11"/>
      <c r="DJ91" s="11"/>
      <c r="DK91" s="11"/>
      <c r="DL91" s="11"/>
      <c r="DM91" s="11"/>
      <c r="DN91" s="11"/>
      <c r="DO91" s="11"/>
    </row>
    <row r="92" spans="1:119" s="10" customFormat="1" ht="11.25" customHeight="1">
      <c r="A92" s="24" t="str">
        <f>"1.79"</f>
        <v>1.79</v>
      </c>
      <c r="B92" s="25" t="str">
        <f>"г. Кириллов, ул. Победы, д.28"</f>
        <v>г. Кириллов, ул. Победы, д.28</v>
      </c>
      <c r="C92" s="26" t="str">
        <f>"1989"</f>
        <v>1989</v>
      </c>
      <c r="D92" s="27" t="str">
        <f>""</f>
        <v/>
      </c>
      <c r="E92" s="27" t="str">
        <f>"30,00"</f>
        <v>30,00</v>
      </c>
      <c r="F92" s="27" t="str">
        <f>"2023-2025"</f>
        <v>2023-2025</v>
      </c>
      <c r="G92" s="27" t="str">
        <f t="shared" si="85"/>
        <v>да</v>
      </c>
      <c r="H92" s="27" t="str">
        <f>"2011"</f>
        <v>2011</v>
      </c>
      <c r="I92" s="27" t="str">
        <f>"12,00"</f>
        <v>12,00</v>
      </c>
      <c r="J92" s="27" t="str">
        <f>"2027-2029"</f>
        <v>2027-2029</v>
      </c>
      <c r="K92" s="27" t="str">
        <f t="shared" si="75"/>
        <v>нет</v>
      </c>
      <c r="L92" s="27" t="str">
        <f>""</f>
        <v/>
      </c>
      <c r="M92" s="27" t="str">
        <f>""</f>
        <v/>
      </c>
      <c r="N92" s="27" t="str">
        <f>""</f>
        <v/>
      </c>
      <c r="O92" s="28" t="str">
        <f>""</f>
        <v/>
      </c>
      <c r="P92" s="27" t="str">
        <f>"30,00"</f>
        <v>30,00</v>
      </c>
      <c r="Q92" s="27" t="str">
        <f>"2026-2028"</f>
        <v>2026-2028</v>
      </c>
      <c r="R92" s="27" t="str">
        <f>"нет"</f>
        <v>нет</v>
      </c>
      <c r="S92" s="27" t="str">
        <f>""</f>
        <v/>
      </c>
      <c r="T92" s="27" t="str">
        <f>""</f>
        <v/>
      </c>
      <c r="U92" s="27" t="str">
        <f>""</f>
        <v/>
      </c>
      <c r="V92" s="27" t="str">
        <f t="shared" si="76"/>
        <v>нет</v>
      </c>
      <c r="W92" s="27" t="str">
        <f>""</f>
        <v/>
      </c>
      <c r="X92" s="27" t="str">
        <f>""</f>
        <v/>
      </c>
      <c r="Y92" s="29" t="str">
        <f>""</f>
        <v/>
      </c>
      <c r="Z92" s="27" t="str">
        <f t="shared" si="80"/>
        <v>х</v>
      </c>
      <c r="AA92" s="27" t="str">
        <f t="shared" si="84"/>
        <v>х</v>
      </c>
      <c r="AB92" s="27" t="str">
        <f t="shared" si="84"/>
        <v>х</v>
      </c>
      <c r="AC92" s="27" t="str">
        <f t="shared" si="72"/>
        <v>нет</v>
      </c>
      <c r="AD92" s="27" t="str">
        <f t="shared" si="78"/>
        <v>х</v>
      </c>
      <c r="AE92" s="27" t="str">
        <f t="shared" si="78"/>
        <v>х</v>
      </c>
      <c r="AF92" s="27" t="str">
        <f t="shared" si="78"/>
        <v>х</v>
      </c>
      <c r="AG92" s="27" t="str">
        <f t="shared" si="73"/>
        <v>нет</v>
      </c>
      <c r="AH92" s="27" t="str">
        <f t="shared" si="79"/>
        <v>х</v>
      </c>
      <c r="AI92" s="27" t="str">
        <f t="shared" si="79"/>
        <v>х</v>
      </c>
      <c r="AJ92" s="27" t="str">
        <f t="shared" si="79"/>
        <v>х</v>
      </c>
      <c r="AK92" s="28" t="str">
        <f>""</f>
        <v/>
      </c>
      <c r="AL92" s="27" t="str">
        <f>"80,00"</f>
        <v>80,00</v>
      </c>
      <c r="AM92" s="27" t="str">
        <f>"2018-2020"</f>
        <v>2018-2020</v>
      </c>
      <c r="AN92" s="30" t="str">
        <f>"нет"</f>
        <v>нет</v>
      </c>
      <c r="AO92" s="27" t="str">
        <f>""</f>
        <v/>
      </c>
      <c r="AP92" s="27" t="str">
        <f>""</f>
        <v/>
      </c>
      <c r="AQ92" s="27" t="str">
        <f>""</f>
        <v/>
      </c>
      <c r="AR92" s="27" t="str">
        <f t="shared" si="69"/>
        <v>нет</v>
      </c>
      <c r="AS92" s="27" t="str">
        <f>""</f>
        <v/>
      </c>
      <c r="AT92" s="27" t="str">
        <f>""</f>
        <v/>
      </c>
      <c r="AU92" s="27" t="str">
        <f>""</f>
        <v/>
      </c>
      <c r="AV92" s="27" t="str">
        <f>""</f>
        <v/>
      </c>
      <c r="AW92" s="27" t="str">
        <f>"48,00"</f>
        <v>48,00</v>
      </c>
      <c r="AX92" s="27" t="str">
        <f>"2026-2028"</f>
        <v>2026-2028</v>
      </c>
      <c r="AY92" s="27" t="str">
        <f t="shared" si="70"/>
        <v>нет</v>
      </c>
      <c r="AZ92" s="27" t="str">
        <f>""</f>
        <v/>
      </c>
      <c r="BA92" s="27" t="str">
        <f>""</f>
        <v/>
      </c>
      <c r="BB92" s="27" t="str">
        <f>""</f>
        <v/>
      </c>
      <c r="BC92" s="27" t="str">
        <f t="shared" si="71"/>
        <v>нет</v>
      </c>
      <c r="BD92" s="27" t="str">
        <f>""</f>
        <v/>
      </c>
      <c r="BE92" s="27" t="str">
        <f>""</f>
        <v/>
      </c>
      <c r="BF92" s="27" t="str">
        <f>""</f>
        <v/>
      </c>
      <c r="BG92" s="27" t="str">
        <f>""</f>
        <v/>
      </c>
      <c r="BH92" s="27" t="str">
        <f>"30,00"</f>
        <v>30,00</v>
      </c>
      <c r="BI92" s="27" t="str">
        <f>"2042-2044"</f>
        <v>2042-2044</v>
      </c>
      <c r="BJ92" s="27" t="str">
        <f t="shared" si="81"/>
        <v>нет</v>
      </c>
      <c r="BK92" s="27" t="str">
        <f t="shared" si="74"/>
        <v>x</v>
      </c>
      <c r="BL92" s="27" t="str">
        <f>"48,00"</f>
        <v>48,00</v>
      </c>
      <c r="BM92" s="27" t="str">
        <f>"2028-2030"</f>
        <v>2028-2030</v>
      </c>
      <c r="BN92" s="27" t="str">
        <f>""</f>
        <v/>
      </c>
      <c r="BO92" s="27" t="str">
        <f>"50,00"</f>
        <v>50,00</v>
      </c>
      <c r="BP92" s="27" t="str">
        <f>"2033-2035"</f>
        <v>2033-2035</v>
      </c>
      <c r="BQ92" s="27" t="str">
        <f>""</f>
        <v/>
      </c>
      <c r="BR92" s="27" t="str">
        <f>"48,00"</f>
        <v>48,00</v>
      </c>
      <c r="BS92" s="27" t="str">
        <f>"2028-2030"</f>
        <v>2028-2030</v>
      </c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/>
      <c r="CO92" s="11"/>
      <c r="CP92" s="11"/>
      <c r="CQ92" s="11"/>
      <c r="CR92" s="11"/>
      <c r="CS92" s="11"/>
      <c r="CT92" s="11"/>
      <c r="CU92" s="11"/>
      <c r="CV92" s="11"/>
      <c r="CW92" s="11"/>
      <c r="CX92" s="11"/>
      <c r="CY92" s="11"/>
      <c r="CZ92" s="11"/>
      <c r="DA92" s="11"/>
      <c r="DB92" s="11"/>
      <c r="DC92" s="11"/>
      <c r="DD92" s="11"/>
      <c r="DE92" s="11"/>
      <c r="DF92" s="11"/>
      <c r="DG92" s="11"/>
      <c r="DH92" s="11"/>
      <c r="DI92" s="11"/>
      <c r="DJ92" s="11"/>
      <c r="DK92" s="11"/>
      <c r="DL92" s="11"/>
      <c r="DM92" s="11"/>
      <c r="DN92" s="11"/>
      <c r="DO92" s="11"/>
    </row>
    <row r="93" spans="1:119" s="10" customFormat="1" ht="11.25" customHeight="1">
      <c r="A93" s="24" t="str">
        <f>"1.80"</f>
        <v>1.80</v>
      </c>
      <c r="B93" s="25" t="str">
        <f>"г. Кириллов, ул. Победы, д.4А"</f>
        <v>г. Кириллов, ул. Победы, д.4А</v>
      </c>
      <c r="C93" s="26" t="str">
        <f>"1963"</f>
        <v>1963</v>
      </c>
      <c r="D93" s="27" t="str">
        <f>"1985"</f>
        <v>1985</v>
      </c>
      <c r="E93" s="27" t="str">
        <f>"80,00"</f>
        <v>80,00</v>
      </c>
      <c r="F93" s="27" t="str">
        <f>"2021-2023"</f>
        <v>2021-2023</v>
      </c>
      <c r="G93" s="27" t="str">
        <f t="shared" si="85"/>
        <v>да</v>
      </c>
      <c r="H93" s="27" t="str">
        <f>"2010"</f>
        <v>2010</v>
      </c>
      <c r="I93" s="27" t="str">
        <f>"19,00"</f>
        <v>19,00</v>
      </c>
      <c r="J93" s="27" t="str">
        <f>"2026-2028"</f>
        <v>2026-2028</v>
      </c>
      <c r="K93" s="27" t="str">
        <f t="shared" si="75"/>
        <v>нет</v>
      </c>
      <c r="L93" s="27" t="str">
        <f>""</f>
        <v/>
      </c>
      <c r="M93" s="27" t="str">
        <f>""</f>
        <v/>
      </c>
      <c r="N93" s="27" t="str">
        <f>""</f>
        <v/>
      </c>
      <c r="O93" s="28" t="str">
        <f>""</f>
        <v/>
      </c>
      <c r="P93" s="27" t="str">
        <f>""</f>
        <v/>
      </c>
      <c r="Q93" s="27" t="str">
        <f>""</f>
        <v/>
      </c>
      <c r="R93" s="27" t="str">
        <f>"нет"</f>
        <v>нет</v>
      </c>
      <c r="S93" s="27" t="str">
        <f>""</f>
        <v/>
      </c>
      <c r="T93" s="27" t="str">
        <f>""</f>
        <v/>
      </c>
      <c r="U93" s="27" t="str">
        <f>""</f>
        <v/>
      </c>
      <c r="V93" s="27" t="str">
        <f t="shared" si="76"/>
        <v>нет</v>
      </c>
      <c r="W93" s="27" t="str">
        <f>""</f>
        <v/>
      </c>
      <c r="X93" s="27" t="str">
        <f>""</f>
        <v/>
      </c>
      <c r="Y93" s="29" t="str">
        <f>""</f>
        <v/>
      </c>
      <c r="Z93" s="27" t="str">
        <f t="shared" si="80"/>
        <v>х</v>
      </c>
      <c r="AA93" s="27" t="str">
        <f t="shared" si="84"/>
        <v>х</v>
      </c>
      <c r="AB93" s="27" t="str">
        <f t="shared" si="84"/>
        <v>х</v>
      </c>
      <c r="AC93" s="27" t="str">
        <f t="shared" si="72"/>
        <v>нет</v>
      </c>
      <c r="AD93" s="27" t="str">
        <f t="shared" si="78"/>
        <v>х</v>
      </c>
      <c r="AE93" s="27" t="str">
        <f t="shared" si="78"/>
        <v>х</v>
      </c>
      <c r="AF93" s="27" t="str">
        <f t="shared" si="78"/>
        <v>х</v>
      </c>
      <c r="AG93" s="27" t="str">
        <f t="shared" si="73"/>
        <v>нет</v>
      </c>
      <c r="AH93" s="27" t="str">
        <f t="shared" si="79"/>
        <v>х</v>
      </c>
      <c r="AI93" s="27" t="str">
        <f t="shared" si="79"/>
        <v>х</v>
      </c>
      <c r="AJ93" s="27" t="str">
        <f t="shared" si="79"/>
        <v>х</v>
      </c>
      <c r="AK93" s="28" t="str">
        <f>"2007"</f>
        <v>2007</v>
      </c>
      <c r="AL93" s="27" t="str">
        <f>"24,00"</f>
        <v>24,00</v>
      </c>
      <c r="AM93" s="27" t="str">
        <f>"2037-2039"</f>
        <v>2037-2039</v>
      </c>
      <c r="AN93" s="30" t="str">
        <f>"нет"</f>
        <v>нет</v>
      </c>
      <c r="AO93" s="27" t="str">
        <f>""</f>
        <v/>
      </c>
      <c r="AP93" s="27" t="str">
        <f>""</f>
        <v/>
      </c>
      <c r="AQ93" s="27" t="str">
        <f>""</f>
        <v/>
      </c>
      <c r="AR93" s="27" t="str">
        <f t="shared" si="69"/>
        <v>нет</v>
      </c>
      <c r="AS93" s="27" t="str">
        <f>""</f>
        <v/>
      </c>
      <c r="AT93" s="27" t="str">
        <f>""</f>
        <v/>
      </c>
      <c r="AU93" s="27" t="str">
        <f>""</f>
        <v/>
      </c>
      <c r="AV93" s="27" t="str">
        <f>"2007"</f>
        <v>2007</v>
      </c>
      <c r="AW93" s="27" t="str">
        <f>"12,00"</f>
        <v>12,00</v>
      </c>
      <c r="AX93" s="27" t="str">
        <f>"2045-2047"</f>
        <v>2045-2047</v>
      </c>
      <c r="AY93" s="27" t="str">
        <f t="shared" si="70"/>
        <v>нет</v>
      </c>
      <c r="AZ93" s="27" t="str">
        <f>""</f>
        <v/>
      </c>
      <c r="BA93" s="27" t="str">
        <f>""</f>
        <v/>
      </c>
      <c r="BB93" s="27" t="str">
        <f>""</f>
        <v/>
      </c>
      <c r="BC93" s="27" t="str">
        <f t="shared" si="71"/>
        <v>нет</v>
      </c>
      <c r="BD93" s="27" t="str">
        <f>""</f>
        <v/>
      </c>
      <c r="BE93" s="27" t="str">
        <f>""</f>
        <v/>
      </c>
      <c r="BF93" s="27" t="str">
        <f>""</f>
        <v/>
      </c>
      <c r="BG93" s="27" t="str">
        <f>""</f>
        <v/>
      </c>
      <c r="BH93" s="27" t="str">
        <f>"65,00"</f>
        <v>65,00</v>
      </c>
      <c r="BI93" s="27" t="str">
        <f>"2019-2021"</f>
        <v>2019-2021</v>
      </c>
      <c r="BJ93" s="27" t="str">
        <f t="shared" si="81"/>
        <v>нет</v>
      </c>
      <c r="BK93" s="27" t="str">
        <f t="shared" si="74"/>
        <v>x</v>
      </c>
      <c r="BL93" s="27" t="str">
        <f>"60,00"</f>
        <v>60,00</v>
      </c>
      <c r="BM93" s="27" t="str">
        <f>"2024-2026"</f>
        <v>2024-2026</v>
      </c>
      <c r="BN93" s="27" t="str">
        <f>""</f>
        <v/>
      </c>
      <c r="BO93" s="27" t="str">
        <f>"60,00"</f>
        <v>60,00</v>
      </c>
      <c r="BP93" s="27" t="str">
        <f>"2027-2029"</f>
        <v>2027-2029</v>
      </c>
      <c r="BQ93" s="27" t="str">
        <f>""</f>
        <v/>
      </c>
      <c r="BR93" s="27" t="str">
        <f>"60,00"</f>
        <v>60,00</v>
      </c>
      <c r="BS93" s="27" t="str">
        <f>"2024-2026"</f>
        <v>2024-2026</v>
      </c>
      <c r="BT93" s="11"/>
      <c r="BU93" s="11"/>
      <c r="BV93" s="11"/>
      <c r="BW93" s="11"/>
      <c r="BX93" s="11"/>
      <c r="BY93" s="11"/>
      <c r="BZ93" s="11"/>
      <c r="CA93" s="11"/>
      <c r="CB93" s="11"/>
      <c r="CC93" s="11"/>
      <c r="CD93" s="11"/>
      <c r="CE93" s="11"/>
      <c r="CF93" s="11"/>
      <c r="CG93" s="11"/>
      <c r="CH93" s="11"/>
      <c r="CI93" s="11"/>
      <c r="CJ93" s="11"/>
      <c r="CK93" s="11"/>
      <c r="CL93" s="11"/>
      <c r="CM93" s="11"/>
      <c r="CN93" s="11"/>
      <c r="CO93" s="11"/>
      <c r="CP93" s="11"/>
      <c r="CQ93" s="11"/>
      <c r="CR93" s="11"/>
      <c r="CS93" s="11"/>
      <c r="CT93" s="11"/>
      <c r="CU93" s="11"/>
      <c r="CV93" s="11"/>
      <c r="CW93" s="11"/>
      <c r="CX93" s="11"/>
      <c r="CY93" s="11"/>
      <c r="CZ93" s="11"/>
      <c r="DA93" s="11"/>
      <c r="DB93" s="11"/>
      <c r="DC93" s="11"/>
      <c r="DD93" s="11"/>
      <c r="DE93" s="11"/>
      <c r="DF93" s="11"/>
      <c r="DG93" s="11"/>
      <c r="DH93" s="11"/>
      <c r="DI93" s="11"/>
      <c r="DJ93" s="11"/>
      <c r="DK93" s="11"/>
      <c r="DL93" s="11"/>
      <c r="DM93" s="11"/>
      <c r="DN93" s="11"/>
      <c r="DO93" s="11"/>
    </row>
    <row r="94" spans="1:119" s="9" customFormat="1" ht="11.25" customHeight="1">
      <c r="A94" s="24" t="str">
        <f>"1.81"</f>
        <v>1.81</v>
      </c>
      <c r="B94" s="25" t="str">
        <f>"г. Кириллов, ул. Преображенского, д.14"</f>
        <v>г. Кириллов, ул. Преображенского, д.14</v>
      </c>
      <c r="C94" s="26" t="str">
        <f>"1987"</f>
        <v>1987</v>
      </c>
      <c r="D94" s="27" t="str">
        <f>""</f>
        <v/>
      </c>
      <c r="E94" s="27" t="str">
        <f>"86,00"</f>
        <v>86,00</v>
      </c>
      <c r="F94" s="27" t="str">
        <f>"2032-2034"</f>
        <v>2032-2034</v>
      </c>
      <c r="G94" s="27" t="str">
        <f t="shared" si="85"/>
        <v>да</v>
      </c>
      <c r="H94" s="27" t="str">
        <f>"2009"</f>
        <v>2009</v>
      </c>
      <c r="I94" s="27" t="str">
        <f>"25,00"</f>
        <v>25,00</v>
      </c>
      <c r="J94" s="27" t="str">
        <f>"2025-2027"</f>
        <v>2025-2027</v>
      </c>
      <c r="K94" s="27" t="str">
        <f t="shared" si="75"/>
        <v>нет</v>
      </c>
      <c r="L94" s="27" t="str">
        <f>""</f>
        <v/>
      </c>
      <c r="M94" s="27" t="str">
        <f>""</f>
        <v/>
      </c>
      <c r="N94" s="27" t="str">
        <f>""</f>
        <v/>
      </c>
      <c r="O94" s="28" t="str">
        <f>""</f>
        <v/>
      </c>
      <c r="P94" s="27" t="str">
        <f>"65,00"</f>
        <v>65,00</v>
      </c>
      <c r="Q94" s="27" t="str">
        <f>"2021-2023"</f>
        <v>2021-2023</v>
      </c>
      <c r="R94" s="27" t="str">
        <f>"да"</f>
        <v>да</v>
      </c>
      <c r="S94" s="27" t="str">
        <f>"2009"</f>
        <v>2009</v>
      </c>
      <c r="T94" s="27" t="str">
        <f>"24,00"</f>
        <v>24,00</v>
      </c>
      <c r="U94" s="27" t="str">
        <f>"2025-2027"</f>
        <v>2025-2027</v>
      </c>
      <c r="V94" s="27" t="str">
        <f t="shared" si="76"/>
        <v>нет</v>
      </c>
      <c r="W94" s="27" t="str">
        <f>""</f>
        <v/>
      </c>
      <c r="X94" s="27" t="str">
        <f>""</f>
        <v/>
      </c>
      <c r="Y94" s="29" t="str">
        <f>""</f>
        <v/>
      </c>
      <c r="Z94" s="27" t="str">
        <f t="shared" si="80"/>
        <v>х</v>
      </c>
      <c r="AA94" s="27" t="str">
        <f>"47,00"</f>
        <v>47,00</v>
      </c>
      <c r="AB94" s="27" t="str">
        <f>"2029-2031"</f>
        <v>2029-2031</v>
      </c>
      <c r="AC94" s="27" t="str">
        <f t="shared" si="72"/>
        <v>нет</v>
      </c>
      <c r="AD94" s="27" t="str">
        <f t="shared" si="78"/>
        <v>х</v>
      </c>
      <c r="AE94" s="27" t="str">
        <f t="shared" si="78"/>
        <v>х</v>
      </c>
      <c r="AF94" s="27" t="str">
        <f t="shared" si="78"/>
        <v>х</v>
      </c>
      <c r="AG94" s="27" t="str">
        <f t="shared" si="73"/>
        <v>нет</v>
      </c>
      <c r="AH94" s="27" t="str">
        <f t="shared" si="79"/>
        <v>х</v>
      </c>
      <c r="AI94" s="27" t="str">
        <f t="shared" si="79"/>
        <v>х</v>
      </c>
      <c r="AJ94" s="27" t="str">
        <f t="shared" si="79"/>
        <v>х</v>
      </c>
      <c r="AK94" s="28" t="str">
        <f>""</f>
        <v/>
      </c>
      <c r="AL94" s="27" t="str">
        <f>"97,00"</f>
        <v>97,00</v>
      </c>
      <c r="AM94" s="27" t="str">
        <f>"2030-2032"</f>
        <v>2030-2032</v>
      </c>
      <c r="AN94" s="30" t="str">
        <f>"нет"</f>
        <v>нет</v>
      </c>
      <c r="AO94" s="27" t="str">
        <f>""</f>
        <v/>
      </c>
      <c r="AP94" s="27" t="str">
        <f>""</f>
        <v/>
      </c>
      <c r="AQ94" s="27" t="str">
        <f>""</f>
        <v/>
      </c>
      <c r="AR94" s="27" t="str">
        <f t="shared" si="69"/>
        <v>нет</v>
      </c>
      <c r="AS94" s="27" t="str">
        <f>""</f>
        <v/>
      </c>
      <c r="AT94" s="27" t="str">
        <f>""</f>
        <v/>
      </c>
      <c r="AU94" s="27" t="str">
        <f>""</f>
        <v/>
      </c>
      <c r="AV94" s="27" t="str">
        <f>""</f>
        <v/>
      </c>
      <c r="AW94" s="27" t="str">
        <f>"52,00"</f>
        <v>52,00</v>
      </c>
      <c r="AX94" s="27" t="str">
        <f>"2026-2028"</f>
        <v>2026-2028</v>
      </c>
      <c r="AY94" s="27" t="str">
        <f t="shared" si="70"/>
        <v>нет</v>
      </c>
      <c r="AZ94" s="27" t="str">
        <f>""</f>
        <v/>
      </c>
      <c r="BA94" s="27" t="str">
        <f>""</f>
        <v/>
      </c>
      <c r="BB94" s="27" t="str">
        <f>""</f>
        <v/>
      </c>
      <c r="BC94" s="27" t="str">
        <f t="shared" si="71"/>
        <v>нет</v>
      </c>
      <c r="BD94" s="27" t="str">
        <f>""</f>
        <v/>
      </c>
      <c r="BE94" s="27" t="str">
        <f>""</f>
        <v/>
      </c>
      <c r="BF94" s="27" t="str">
        <f>""</f>
        <v/>
      </c>
      <c r="BG94" s="27" t="str">
        <f>""</f>
        <v/>
      </c>
      <c r="BH94" s="27" t="str">
        <f>"65,00"</f>
        <v>65,00</v>
      </c>
      <c r="BI94" s="27" t="str">
        <f>"2042-2044"</f>
        <v>2042-2044</v>
      </c>
      <c r="BJ94" s="27" t="str">
        <f t="shared" si="81"/>
        <v>нет</v>
      </c>
      <c r="BK94" s="27" t="str">
        <f>"2006"</f>
        <v>2006</v>
      </c>
      <c r="BL94" s="27" t="str">
        <f>"14,00"</f>
        <v>14,00</v>
      </c>
      <c r="BM94" s="27" t="str">
        <f>"2045-2047"</f>
        <v>2045-2047</v>
      </c>
      <c r="BN94" s="27" t="str">
        <f>""</f>
        <v/>
      </c>
      <c r="BO94" s="27" t="str">
        <f>"58,00"</f>
        <v>58,00</v>
      </c>
      <c r="BP94" s="27" t="str">
        <f>"2022-2024"</f>
        <v>2022-2024</v>
      </c>
      <c r="BQ94" s="27" t="str">
        <f>"2006"</f>
        <v>2006</v>
      </c>
      <c r="BR94" s="27" t="str">
        <f>"14,00"</f>
        <v>14,00</v>
      </c>
      <c r="BS94" s="27" t="str">
        <f>"2045-2047"</f>
        <v>2045-2047</v>
      </c>
      <c r="BT94" s="11"/>
      <c r="BU94" s="11"/>
      <c r="BV94" s="11"/>
      <c r="BW94" s="11"/>
      <c r="BX94" s="11"/>
      <c r="BY94" s="11"/>
      <c r="BZ94" s="11"/>
      <c r="CA94" s="11"/>
      <c r="CB94" s="11"/>
      <c r="CC94" s="11"/>
      <c r="CD94" s="11"/>
      <c r="CE94" s="11"/>
      <c r="CF94" s="11"/>
      <c r="CG94" s="11"/>
      <c r="CH94" s="11"/>
      <c r="CI94" s="11"/>
      <c r="CJ94" s="11"/>
      <c r="CK94" s="11"/>
      <c r="CL94" s="11"/>
      <c r="CM94" s="11"/>
      <c r="CN94" s="11"/>
      <c r="CO94" s="11"/>
      <c r="CP94" s="11"/>
      <c r="CQ94" s="11"/>
      <c r="CR94" s="11"/>
      <c r="CS94" s="11"/>
      <c r="CT94" s="11"/>
      <c r="CU94" s="11"/>
      <c r="CV94" s="11"/>
      <c r="CW94" s="11"/>
      <c r="CX94" s="11"/>
      <c r="CY94" s="11"/>
      <c r="CZ94" s="11"/>
      <c r="DA94" s="11"/>
      <c r="DB94" s="11"/>
      <c r="DC94" s="11"/>
      <c r="DD94" s="11"/>
      <c r="DE94" s="11"/>
      <c r="DF94" s="11"/>
      <c r="DG94" s="11"/>
      <c r="DH94" s="11"/>
      <c r="DI94" s="11"/>
      <c r="DJ94" s="11"/>
      <c r="DK94" s="11"/>
      <c r="DL94" s="11"/>
      <c r="DM94" s="11"/>
      <c r="DN94" s="11"/>
      <c r="DO94" s="11"/>
    </row>
    <row r="95" spans="1:119" s="9" customFormat="1" ht="11.25" customHeight="1">
      <c r="A95" s="24" t="str">
        <f>"1.82"</f>
        <v>1.82</v>
      </c>
      <c r="B95" s="25" t="str">
        <f>"г. Кириллов, ул. Преображенского, д.23"</f>
        <v>г. Кириллов, ул. Преображенского, д.23</v>
      </c>
      <c r="C95" s="26" t="str">
        <f>"1982"</f>
        <v>1982</v>
      </c>
      <c r="D95" s="27" t="str">
        <f>""</f>
        <v/>
      </c>
      <c r="E95" s="27" t="str">
        <f>"75,00"</f>
        <v>75,00</v>
      </c>
      <c r="F95" s="27" t="str">
        <f>"2022-2024"</f>
        <v>2022-2024</v>
      </c>
      <c r="G95" s="27" t="str">
        <f t="shared" si="85"/>
        <v>да</v>
      </c>
      <c r="H95" s="27" t="str">
        <f>"2009"</f>
        <v>2009</v>
      </c>
      <c r="I95" s="27" t="str">
        <f>"25,00"</f>
        <v>25,00</v>
      </c>
      <c r="J95" s="27" t="str">
        <f>"2025-2027"</f>
        <v>2025-2027</v>
      </c>
      <c r="K95" s="27" t="str">
        <f t="shared" si="75"/>
        <v>нет</v>
      </c>
      <c r="L95" s="27" t="str">
        <f>""</f>
        <v/>
      </c>
      <c r="M95" s="27" t="str">
        <f>""</f>
        <v/>
      </c>
      <c r="N95" s="27" t="str">
        <f>""</f>
        <v/>
      </c>
      <c r="O95" s="28" t="str">
        <f>""</f>
        <v/>
      </c>
      <c r="P95" s="27" t="str">
        <f>"30,00"</f>
        <v>30,00</v>
      </c>
      <c r="Q95" s="27" t="str">
        <f>"2026-2028"</f>
        <v>2026-2028</v>
      </c>
      <c r="R95" s="27" t="str">
        <f>"да"</f>
        <v>да</v>
      </c>
      <c r="S95" s="27" t="str">
        <f>"2013"</f>
        <v>2013</v>
      </c>
      <c r="T95" s="27" t="str">
        <f>"1,00"</f>
        <v>1,00</v>
      </c>
      <c r="U95" s="27" t="str">
        <f>"2029-2031"</f>
        <v>2029-2031</v>
      </c>
      <c r="V95" s="27" t="str">
        <f t="shared" si="76"/>
        <v>нет</v>
      </c>
      <c r="W95" s="27" t="str">
        <f>""</f>
        <v/>
      </c>
      <c r="X95" s="27" t="str">
        <f>""</f>
        <v/>
      </c>
      <c r="Y95" s="29" t="str">
        <f>""</f>
        <v/>
      </c>
      <c r="Z95" s="27" t="str">
        <f t="shared" si="80"/>
        <v>х</v>
      </c>
      <c r="AA95" s="27" t="str">
        <f t="shared" ref="AA95:AB112" si="86">"х"</f>
        <v>х</v>
      </c>
      <c r="AB95" s="27" t="str">
        <f t="shared" si="86"/>
        <v>х</v>
      </c>
      <c r="AC95" s="27" t="str">
        <f t="shared" si="72"/>
        <v>нет</v>
      </c>
      <c r="AD95" s="27" t="str">
        <f t="shared" si="78"/>
        <v>х</v>
      </c>
      <c r="AE95" s="27" t="str">
        <f t="shared" si="78"/>
        <v>х</v>
      </c>
      <c r="AF95" s="27" t="str">
        <f t="shared" si="78"/>
        <v>х</v>
      </c>
      <c r="AG95" s="27" t="str">
        <f t="shared" si="73"/>
        <v>нет</v>
      </c>
      <c r="AH95" s="27" t="str">
        <f t="shared" si="79"/>
        <v>х</v>
      </c>
      <c r="AI95" s="27" t="str">
        <f t="shared" si="79"/>
        <v>х</v>
      </c>
      <c r="AJ95" s="27" t="str">
        <f t="shared" si="79"/>
        <v>х</v>
      </c>
      <c r="AK95" s="28" t="str">
        <f>""</f>
        <v/>
      </c>
      <c r="AL95" s="27" t="str">
        <f>"60,00"</f>
        <v>60,00</v>
      </c>
      <c r="AM95" s="27" t="str">
        <f>"2030-2032"</f>
        <v>2030-2032</v>
      </c>
      <c r="AN95" s="30" t="str">
        <f>"да"</f>
        <v>да</v>
      </c>
      <c r="AO95" s="27" t="str">
        <f>"2009"</f>
        <v>2009</v>
      </c>
      <c r="AP95" s="27" t="str">
        <f>"66,00"</f>
        <v>66,00</v>
      </c>
      <c r="AQ95" s="27" t="str">
        <f>"2015-2017"</f>
        <v>2015-2017</v>
      </c>
      <c r="AR95" s="27" t="str">
        <f t="shared" si="69"/>
        <v>нет</v>
      </c>
      <c r="AS95" s="27" t="str">
        <f>""</f>
        <v/>
      </c>
      <c r="AT95" s="27" t="str">
        <f>""</f>
        <v/>
      </c>
      <c r="AU95" s="27" t="str">
        <f>""</f>
        <v/>
      </c>
      <c r="AV95" s="27" t="str">
        <f>""</f>
        <v/>
      </c>
      <c r="AW95" s="27" t="str">
        <f>"62,00"</f>
        <v>62,00</v>
      </c>
      <c r="AX95" s="27" t="str">
        <f>"2016-2018"</f>
        <v>2016-2018</v>
      </c>
      <c r="AY95" s="27" t="str">
        <f t="shared" si="70"/>
        <v>нет</v>
      </c>
      <c r="AZ95" s="27" t="str">
        <f>""</f>
        <v/>
      </c>
      <c r="BA95" s="27" t="str">
        <f>""</f>
        <v/>
      </c>
      <c r="BB95" s="27" t="str">
        <f>""</f>
        <v/>
      </c>
      <c r="BC95" s="27" t="str">
        <f t="shared" si="71"/>
        <v>нет</v>
      </c>
      <c r="BD95" s="27" t="str">
        <f>""</f>
        <v/>
      </c>
      <c r="BE95" s="27" t="str">
        <f>""</f>
        <v/>
      </c>
      <c r="BF95" s="27" t="str">
        <f>""</f>
        <v/>
      </c>
      <c r="BG95" s="27" t="str">
        <f>""</f>
        <v/>
      </c>
      <c r="BH95" s="27" t="str">
        <f>"60,00"</f>
        <v>60,00</v>
      </c>
      <c r="BI95" s="27" t="str">
        <f>"2024-2026"</f>
        <v>2024-2026</v>
      </c>
      <c r="BJ95" s="27" t="str">
        <f t="shared" si="81"/>
        <v>нет</v>
      </c>
      <c r="BK95" s="27" t="str">
        <f>"x"</f>
        <v>x</v>
      </c>
      <c r="BL95" s="27" t="str">
        <f>"50,00"</f>
        <v>50,00</v>
      </c>
      <c r="BM95" s="27" t="str">
        <f>"2023-2025"</f>
        <v>2023-2025</v>
      </c>
      <c r="BN95" s="27" t="str">
        <f>""</f>
        <v/>
      </c>
      <c r="BO95" s="27" t="str">
        <f>"55,00"</f>
        <v>55,00</v>
      </c>
      <c r="BP95" s="27" t="str">
        <f>"2034-2036"</f>
        <v>2034-2036</v>
      </c>
      <c r="BQ95" s="27" t="str">
        <f>""</f>
        <v/>
      </c>
      <c r="BR95" s="27" t="str">
        <f>"50,00"</f>
        <v>50,00</v>
      </c>
      <c r="BS95" s="27" t="str">
        <f>"2023-2025"</f>
        <v>2023-2025</v>
      </c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1"/>
      <c r="CF95" s="11"/>
      <c r="CG95" s="11"/>
      <c r="CH95" s="11"/>
      <c r="CI95" s="11"/>
      <c r="CJ95" s="11"/>
      <c r="CK95" s="11"/>
      <c r="CL95" s="11"/>
      <c r="CM95" s="11"/>
      <c r="CN95" s="11"/>
      <c r="CO95" s="11"/>
      <c r="CP95" s="11"/>
      <c r="CQ95" s="11"/>
      <c r="CR95" s="11"/>
      <c r="CS95" s="11"/>
      <c r="CT95" s="11"/>
      <c r="CU95" s="11"/>
      <c r="CV95" s="11"/>
      <c r="CW95" s="11"/>
      <c r="CX95" s="11"/>
      <c r="CY95" s="11"/>
      <c r="CZ95" s="11"/>
      <c r="DA95" s="11"/>
      <c r="DB95" s="11"/>
      <c r="DC95" s="11"/>
      <c r="DD95" s="11"/>
      <c r="DE95" s="11"/>
      <c r="DF95" s="11"/>
      <c r="DG95" s="11"/>
      <c r="DH95" s="11"/>
      <c r="DI95" s="11"/>
      <c r="DJ95" s="11"/>
      <c r="DK95" s="11"/>
      <c r="DL95" s="11"/>
      <c r="DM95" s="11"/>
      <c r="DN95" s="11"/>
      <c r="DO95" s="11"/>
    </row>
    <row r="96" spans="1:119" s="9" customFormat="1" ht="11.25" customHeight="1">
      <c r="A96" s="24" t="str">
        <f>"1.83"</f>
        <v>1.83</v>
      </c>
      <c r="B96" s="25" t="str">
        <f>"г. Кириллов, ул. Преображенского, д.25"</f>
        <v>г. Кириллов, ул. Преображенского, д.25</v>
      </c>
      <c r="C96" s="26" t="str">
        <f>"1987"</f>
        <v>1987</v>
      </c>
      <c r="D96" s="27" t="str">
        <f>""</f>
        <v/>
      </c>
      <c r="E96" s="27" t="str">
        <f>"60,00"</f>
        <v>60,00</v>
      </c>
      <c r="F96" s="27" t="str">
        <f>"2022-2024"</f>
        <v>2022-2024</v>
      </c>
      <c r="G96" s="27" t="str">
        <f t="shared" si="85"/>
        <v>да</v>
      </c>
      <c r="H96" s="27" t="str">
        <f>"2011"</f>
        <v>2011</v>
      </c>
      <c r="I96" s="27" t="str">
        <f>"12,00"</f>
        <v>12,00</v>
      </c>
      <c r="J96" s="27" t="str">
        <f>"2027-2029"</f>
        <v>2027-2029</v>
      </c>
      <c r="K96" s="27" t="str">
        <f t="shared" si="75"/>
        <v>нет</v>
      </c>
      <c r="L96" s="27" t="str">
        <f>""</f>
        <v/>
      </c>
      <c r="M96" s="27" t="str">
        <f>""</f>
        <v/>
      </c>
      <c r="N96" s="27" t="str">
        <f>""</f>
        <v/>
      </c>
      <c r="O96" s="28" t="str">
        <f>""</f>
        <v/>
      </c>
      <c r="P96" s="27" t="str">
        <f>"70,00"</f>
        <v>70,00</v>
      </c>
      <c r="Q96" s="27" t="str">
        <f>"2017-2019"</f>
        <v>2017-2019</v>
      </c>
      <c r="R96" s="27" t="str">
        <f>"да"</f>
        <v>да</v>
      </c>
      <c r="S96" s="27" t="str">
        <f>"2010"</f>
        <v>2010</v>
      </c>
      <c r="T96" s="27" t="str">
        <f>"19,00"</f>
        <v>19,00</v>
      </c>
      <c r="U96" s="27" t="str">
        <f>"2026-2028"</f>
        <v>2026-2028</v>
      </c>
      <c r="V96" s="27" t="str">
        <f t="shared" si="76"/>
        <v>нет</v>
      </c>
      <c r="W96" s="27" t="str">
        <f>""</f>
        <v/>
      </c>
      <c r="X96" s="27" t="str">
        <f>""</f>
        <v/>
      </c>
      <c r="Y96" s="29" t="str">
        <f>""</f>
        <v/>
      </c>
      <c r="Z96" s="27" t="str">
        <f t="shared" si="80"/>
        <v>х</v>
      </c>
      <c r="AA96" s="27" t="str">
        <f t="shared" si="86"/>
        <v>х</v>
      </c>
      <c r="AB96" s="27" t="str">
        <f t="shared" si="86"/>
        <v>х</v>
      </c>
      <c r="AC96" s="27" t="str">
        <f t="shared" si="72"/>
        <v>нет</v>
      </c>
      <c r="AD96" s="27" t="str">
        <f t="shared" ref="AD96:AF115" si="87">"х"</f>
        <v>х</v>
      </c>
      <c r="AE96" s="27" t="str">
        <f t="shared" si="87"/>
        <v>х</v>
      </c>
      <c r="AF96" s="27" t="str">
        <f t="shared" si="87"/>
        <v>х</v>
      </c>
      <c r="AG96" s="27" t="str">
        <f t="shared" si="73"/>
        <v>нет</v>
      </c>
      <c r="AH96" s="27" t="str">
        <f t="shared" ref="AH96:AJ115" si="88">"х"</f>
        <v>х</v>
      </c>
      <c r="AI96" s="27" t="str">
        <f t="shared" si="88"/>
        <v>х</v>
      </c>
      <c r="AJ96" s="27" t="str">
        <f t="shared" si="88"/>
        <v>х</v>
      </c>
      <c r="AK96" s="28" t="str">
        <f>""</f>
        <v/>
      </c>
      <c r="AL96" s="27" t="str">
        <f>"70,00"</f>
        <v>70,00</v>
      </c>
      <c r="AM96" s="27" t="str">
        <f>"2030-2032"</f>
        <v>2030-2032</v>
      </c>
      <c r="AN96" s="30" t="str">
        <f t="shared" ref="AN96:AN104" si="89">"нет"</f>
        <v>нет</v>
      </c>
      <c r="AO96" s="27" t="str">
        <f>""</f>
        <v/>
      </c>
      <c r="AP96" s="27" t="str">
        <f>""</f>
        <v/>
      </c>
      <c r="AQ96" s="27" t="str">
        <f>""</f>
        <v/>
      </c>
      <c r="AR96" s="27" t="str">
        <f t="shared" si="69"/>
        <v>нет</v>
      </c>
      <c r="AS96" s="27" t="str">
        <f>""</f>
        <v/>
      </c>
      <c r="AT96" s="27" t="str">
        <f>""</f>
        <v/>
      </c>
      <c r="AU96" s="27" t="str">
        <f>""</f>
        <v/>
      </c>
      <c r="AV96" s="27" t="str">
        <f>""</f>
        <v/>
      </c>
      <c r="AW96" s="27" t="str">
        <f>"50,00"</f>
        <v>50,00</v>
      </c>
      <c r="AX96" s="27" t="str">
        <f>"2026-2028"</f>
        <v>2026-2028</v>
      </c>
      <c r="AY96" s="27" t="str">
        <f t="shared" si="70"/>
        <v>нет</v>
      </c>
      <c r="AZ96" s="27" t="str">
        <f>""</f>
        <v/>
      </c>
      <c r="BA96" s="27" t="str">
        <f>""</f>
        <v/>
      </c>
      <c r="BB96" s="27" t="str">
        <f>""</f>
        <v/>
      </c>
      <c r="BC96" s="27" t="str">
        <f t="shared" si="71"/>
        <v>нет</v>
      </c>
      <c r="BD96" s="27" t="str">
        <f>""</f>
        <v/>
      </c>
      <c r="BE96" s="27" t="str">
        <f>""</f>
        <v/>
      </c>
      <c r="BF96" s="27" t="str">
        <f>""</f>
        <v/>
      </c>
      <c r="BG96" s="27" t="str">
        <f>""</f>
        <v/>
      </c>
      <c r="BH96" s="27" t="str">
        <f>"60,00"</f>
        <v>60,00</v>
      </c>
      <c r="BI96" s="27" t="str">
        <f>"2024-2026"</f>
        <v>2024-2026</v>
      </c>
      <c r="BJ96" s="27" t="str">
        <f t="shared" si="81"/>
        <v>нет</v>
      </c>
      <c r="BK96" s="27" t="str">
        <f>"x"</f>
        <v>x</v>
      </c>
      <c r="BL96" s="27" t="str">
        <f>"55,00"</f>
        <v>55,00</v>
      </c>
      <c r="BM96" s="27" t="str">
        <f>"2028-2030"</f>
        <v>2028-2030</v>
      </c>
      <c r="BN96" s="27" t="str">
        <f>""</f>
        <v/>
      </c>
      <c r="BO96" s="27" t="str">
        <f>"60,00"</f>
        <v>60,00</v>
      </c>
      <c r="BP96" s="27" t="str">
        <f>"2034-2036"</f>
        <v>2034-2036</v>
      </c>
      <c r="BQ96" s="27" t="str">
        <f>""</f>
        <v/>
      </c>
      <c r="BR96" s="27" t="str">
        <f>"55,00"</f>
        <v>55,00</v>
      </c>
      <c r="BS96" s="27" t="str">
        <f>"2028-2030"</f>
        <v>2028-2030</v>
      </c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/>
      <c r="CO96" s="11"/>
      <c r="CP96" s="11"/>
      <c r="CQ96" s="11"/>
      <c r="CR96" s="11"/>
      <c r="CS96" s="11"/>
      <c r="CT96" s="11"/>
      <c r="CU96" s="11"/>
      <c r="CV96" s="11"/>
      <c r="CW96" s="11"/>
      <c r="CX96" s="11"/>
      <c r="CY96" s="11"/>
      <c r="CZ96" s="11"/>
      <c r="DA96" s="11"/>
      <c r="DB96" s="11"/>
      <c r="DC96" s="11"/>
      <c r="DD96" s="11"/>
      <c r="DE96" s="11"/>
      <c r="DF96" s="11"/>
      <c r="DG96" s="11"/>
      <c r="DH96" s="11"/>
      <c r="DI96" s="11"/>
      <c r="DJ96" s="11"/>
      <c r="DK96" s="11"/>
      <c r="DL96" s="11"/>
      <c r="DM96" s="11"/>
      <c r="DN96" s="11"/>
      <c r="DO96" s="11"/>
    </row>
    <row r="97" spans="1:119" s="10" customFormat="1" ht="11.25" customHeight="1">
      <c r="A97" s="24" t="str">
        <f>"1.84"</f>
        <v>1.84</v>
      </c>
      <c r="B97" s="25" t="str">
        <f>"г. Кириллов, ул. Преображенского, д.26"</f>
        <v>г. Кириллов, ул. Преображенского, д.26</v>
      </c>
      <c r="C97" s="26" t="str">
        <f>"1970"</f>
        <v>1970</v>
      </c>
      <c r="D97" s="27" t="str">
        <f>"1970"</f>
        <v>1970</v>
      </c>
      <c r="E97" s="27" t="str">
        <f>"90,00"</f>
        <v>90,00</v>
      </c>
      <c r="F97" s="27" t="str">
        <f>"2017-2019"</f>
        <v>2017-2019</v>
      </c>
      <c r="G97" s="27" t="str">
        <f t="shared" si="85"/>
        <v>да</v>
      </c>
      <c r="H97" s="27" t="str">
        <f>"2011"</f>
        <v>2011</v>
      </c>
      <c r="I97" s="27" t="str">
        <f>"13,00"</f>
        <v>13,00</v>
      </c>
      <c r="J97" s="27" t="str">
        <f>"2027-2029"</f>
        <v>2027-2029</v>
      </c>
      <c r="K97" s="27" t="str">
        <f t="shared" si="75"/>
        <v>нет</v>
      </c>
      <c r="L97" s="27" t="str">
        <f>""</f>
        <v/>
      </c>
      <c r="M97" s="27" t="str">
        <f>""</f>
        <v/>
      </c>
      <c r="N97" s="27" t="str">
        <f>""</f>
        <v/>
      </c>
      <c r="O97" s="28" t="str">
        <f>"1987"</f>
        <v>1987</v>
      </c>
      <c r="P97" s="27" t="str">
        <f>"65,00"</f>
        <v>65,00</v>
      </c>
      <c r="Q97" s="27" t="str">
        <f>"2022-2024"</f>
        <v>2022-2024</v>
      </c>
      <c r="R97" s="27" t="str">
        <f t="shared" ref="R97:R105" si="90">"нет"</f>
        <v>нет</v>
      </c>
      <c r="S97" s="27">
        <v>2015</v>
      </c>
      <c r="T97" s="27" t="str">
        <f>""</f>
        <v/>
      </c>
      <c r="U97" s="27">
        <v>2030</v>
      </c>
      <c r="V97" s="27" t="str">
        <f t="shared" si="76"/>
        <v>нет</v>
      </c>
      <c r="W97" s="27" t="str">
        <f>""</f>
        <v/>
      </c>
      <c r="X97" s="27" t="str">
        <f>""</f>
        <v/>
      </c>
      <c r="Y97" s="29" t="str">
        <f>""</f>
        <v/>
      </c>
      <c r="Z97" s="27" t="str">
        <f t="shared" si="80"/>
        <v>х</v>
      </c>
      <c r="AA97" s="27" t="str">
        <f t="shared" si="86"/>
        <v>х</v>
      </c>
      <c r="AB97" s="27" t="str">
        <f t="shared" si="86"/>
        <v>х</v>
      </c>
      <c r="AC97" s="27" t="str">
        <f t="shared" si="72"/>
        <v>нет</v>
      </c>
      <c r="AD97" s="27" t="str">
        <f t="shared" si="87"/>
        <v>х</v>
      </c>
      <c r="AE97" s="27" t="str">
        <f t="shared" si="87"/>
        <v>х</v>
      </c>
      <c r="AF97" s="27" t="str">
        <f t="shared" si="87"/>
        <v>х</v>
      </c>
      <c r="AG97" s="27" t="str">
        <f t="shared" si="73"/>
        <v>нет</v>
      </c>
      <c r="AH97" s="27" t="str">
        <f t="shared" si="88"/>
        <v>х</v>
      </c>
      <c r="AI97" s="27" t="str">
        <f t="shared" si="88"/>
        <v>х</v>
      </c>
      <c r="AJ97" s="27" t="str">
        <f t="shared" si="88"/>
        <v>х</v>
      </c>
      <c r="AK97" s="28" t="str">
        <f>"2012"</f>
        <v>2012</v>
      </c>
      <c r="AL97" s="27" t="str">
        <f>"4,00"</f>
        <v>4,00</v>
      </c>
      <c r="AM97" s="27" t="str">
        <f>"2042-2044"</f>
        <v>2042-2044</v>
      </c>
      <c r="AN97" s="30" t="str">
        <f t="shared" si="89"/>
        <v>нет</v>
      </c>
      <c r="AO97" s="27" t="str">
        <f>""</f>
        <v/>
      </c>
      <c r="AP97" s="27" t="str">
        <f>""</f>
        <v/>
      </c>
      <c r="AQ97" s="27" t="str">
        <f>""</f>
        <v/>
      </c>
      <c r="AR97" s="27" t="str">
        <f t="shared" si="69"/>
        <v>нет</v>
      </c>
      <c r="AS97" s="27" t="str">
        <f>""</f>
        <v/>
      </c>
      <c r="AT97" s="27" t="str">
        <f>""</f>
        <v/>
      </c>
      <c r="AU97" s="27" t="str">
        <f>""</f>
        <v/>
      </c>
      <c r="AV97" s="27" t="str">
        <f>"2012"</f>
        <v>2012</v>
      </c>
      <c r="AW97" s="27" t="str">
        <f>"4,00"</f>
        <v>4,00</v>
      </c>
      <c r="AX97" s="27" t="str">
        <f>"2045-2047"</f>
        <v>2045-2047</v>
      </c>
      <c r="AY97" s="27" t="str">
        <f t="shared" si="70"/>
        <v>нет</v>
      </c>
      <c r="AZ97" s="27" t="str">
        <f>""</f>
        <v/>
      </c>
      <c r="BA97" s="27" t="str">
        <f>""</f>
        <v/>
      </c>
      <c r="BB97" s="27" t="str">
        <f>""</f>
        <v/>
      </c>
      <c r="BC97" s="27" t="str">
        <f t="shared" si="71"/>
        <v>нет</v>
      </c>
      <c r="BD97" s="27" t="str">
        <f>""</f>
        <v/>
      </c>
      <c r="BE97" s="27" t="str">
        <f>""</f>
        <v/>
      </c>
      <c r="BF97" s="27" t="str">
        <f>""</f>
        <v/>
      </c>
      <c r="BG97" s="27" t="str">
        <f>"2008"</f>
        <v>2008</v>
      </c>
      <c r="BH97" s="27" t="str">
        <f>"33,00"</f>
        <v>33,00</v>
      </c>
      <c r="BI97" s="27" t="str">
        <f>"2031-2033"</f>
        <v>2031-2033</v>
      </c>
      <c r="BJ97" s="27" t="str">
        <f t="shared" si="81"/>
        <v>нет</v>
      </c>
      <c r="BK97" s="27" t="str">
        <f>"x"</f>
        <v>x</v>
      </c>
      <c r="BL97" s="27" t="str">
        <f>"60,00"</f>
        <v>60,00</v>
      </c>
      <c r="BM97" s="27" t="str">
        <f>"2026-2028"</f>
        <v>2026-2028</v>
      </c>
      <c r="BN97" s="27" t="str">
        <f>""</f>
        <v/>
      </c>
      <c r="BO97" s="27" t="str">
        <f>"60,00"</f>
        <v>60,00</v>
      </c>
      <c r="BP97" s="27" t="str">
        <f>"2024-2026"</f>
        <v>2024-2026</v>
      </c>
      <c r="BQ97" s="27" t="str">
        <f>""</f>
        <v/>
      </c>
      <c r="BR97" s="27" t="str">
        <f>"60,00"</f>
        <v>60,00</v>
      </c>
      <c r="BS97" s="27" t="str">
        <f>"2026-2028"</f>
        <v>2026-2028</v>
      </c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1"/>
      <c r="CF97" s="11"/>
      <c r="CG97" s="11"/>
      <c r="CH97" s="11"/>
      <c r="CI97" s="11"/>
      <c r="CJ97" s="11"/>
      <c r="CK97" s="11"/>
      <c r="CL97" s="11"/>
      <c r="CM97" s="11"/>
      <c r="CN97" s="11"/>
      <c r="CO97" s="11"/>
      <c r="CP97" s="11"/>
      <c r="CQ97" s="11"/>
      <c r="CR97" s="11"/>
      <c r="CS97" s="11"/>
      <c r="CT97" s="11"/>
      <c r="CU97" s="11"/>
      <c r="CV97" s="11"/>
      <c r="CW97" s="11"/>
      <c r="CX97" s="11"/>
      <c r="CY97" s="11"/>
      <c r="CZ97" s="11"/>
      <c r="DA97" s="11"/>
      <c r="DB97" s="11"/>
      <c r="DC97" s="11"/>
      <c r="DD97" s="11"/>
      <c r="DE97" s="11"/>
      <c r="DF97" s="11"/>
      <c r="DG97" s="11"/>
      <c r="DH97" s="11"/>
      <c r="DI97" s="11"/>
      <c r="DJ97" s="11"/>
      <c r="DK97" s="11"/>
      <c r="DL97" s="11"/>
      <c r="DM97" s="11"/>
      <c r="DN97" s="11"/>
      <c r="DO97" s="11"/>
    </row>
    <row r="98" spans="1:119" s="10" customFormat="1" ht="11.25" customHeight="1">
      <c r="A98" s="24" t="str">
        <f>"1.85"</f>
        <v>1.85</v>
      </c>
      <c r="B98" s="25" t="str">
        <f>"г. Кириллов, ул. Преображенского, д.30А"</f>
        <v>г. Кириллов, ул. Преображенского, д.30А</v>
      </c>
      <c r="C98" s="26" t="str">
        <f>"1968"</f>
        <v>1968</v>
      </c>
      <c r="D98" s="27" t="str">
        <f>"1988"</f>
        <v>1988</v>
      </c>
      <c r="E98" s="27" t="str">
        <f>"70,00"</f>
        <v>70,00</v>
      </c>
      <c r="F98" s="27" t="str">
        <f>"2025-2027"</f>
        <v>2025-2027</v>
      </c>
      <c r="G98" s="27" t="str">
        <f t="shared" si="85"/>
        <v>да</v>
      </c>
      <c r="H98" s="27" t="str">
        <f>"2011"</f>
        <v>2011</v>
      </c>
      <c r="I98" s="27" t="str">
        <f>"13,00"</f>
        <v>13,00</v>
      </c>
      <c r="J98" s="27" t="str">
        <f>"2027-2029"</f>
        <v>2027-2029</v>
      </c>
      <c r="K98" s="27" t="str">
        <f t="shared" si="75"/>
        <v>нет</v>
      </c>
      <c r="L98" s="27" t="str">
        <f>""</f>
        <v/>
      </c>
      <c r="M98" s="27" t="str">
        <f>""</f>
        <v/>
      </c>
      <c r="N98" s="27" t="str">
        <f>""</f>
        <v/>
      </c>
      <c r="O98" s="28" t="str">
        <f>"1992"</f>
        <v>1992</v>
      </c>
      <c r="P98" s="27" t="str">
        <f>"53,00"</f>
        <v>53,00</v>
      </c>
      <c r="Q98" s="27" t="str">
        <f>"2022-2024"</f>
        <v>2022-2024</v>
      </c>
      <c r="R98" s="27" t="str">
        <f t="shared" si="90"/>
        <v>нет</v>
      </c>
      <c r="S98" s="27" t="str">
        <f>""</f>
        <v/>
      </c>
      <c r="T98" s="27" t="str">
        <f>""</f>
        <v/>
      </c>
      <c r="U98" s="27" t="str">
        <f>""</f>
        <v/>
      </c>
      <c r="V98" s="27" t="str">
        <f t="shared" si="76"/>
        <v>нет</v>
      </c>
      <c r="W98" s="27" t="str">
        <f>""</f>
        <v/>
      </c>
      <c r="X98" s="27" t="str">
        <f>""</f>
        <v/>
      </c>
      <c r="Y98" s="29" t="str">
        <f>""</f>
        <v/>
      </c>
      <c r="Z98" s="27" t="str">
        <f t="shared" si="80"/>
        <v>х</v>
      </c>
      <c r="AA98" s="27" t="str">
        <f t="shared" si="86"/>
        <v>х</v>
      </c>
      <c r="AB98" s="27" t="str">
        <f t="shared" si="86"/>
        <v>х</v>
      </c>
      <c r="AC98" s="27" t="str">
        <f t="shared" si="72"/>
        <v>нет</v>
      </c>
      <c r="AD98" s="27" t="str">
        <f t="shared" si="87"/>
        <v>х</v>
      </c>
      <c r="AE98" s="27" t="str">
        <f t="shared" si="87"/>
        <v>х</v>
      </c>
      <c r="AF98" s="27" t="str">
        <f t="shared" si="87"/>
        <v>х</v>
      </c>
      <c r="AG98" s="27" t="str">
        <f t="shared" si="73"/>
        <v>нет</v>
      </c>
      <c r="AH98" s="27" t="str">
        <f t="shared" si="88"/>
        <v>х</v>
      </c>
      <c r="AI98" s="27" t="str">
        <f t="shared" si="88"/>
        <v>х</v>
      </c>
      <c r="AJ98" s="27" t="str">
        <f t="shared" si="88"/>
        <v>х</v>
      </c>
      <c r="AK98" s="28" t="str">
        <f>"х"</f>
        <v>х</v>
      </c>
      <c r="AL98" s="27" t="str">
        <f>"х"</f>
        <v>х</v>
      </c>
      <c r="AM98" s="27" t="str">
        <f>"х"</f>
        <v>х</v>
      </c>
      <c r="AN98" s="30" t="str">
        <f t="shared" si="89"/>
        <v>нет</v>
      </c>
      <c r="AO98" s="27" t="str">
        <f>"х"</f>
        <v>х</v>
      </c>
      <c r="AP98" s="27" t="str">
        <f>"х"</f>
        <v>х</v>
      </c>
      <c r="AQ98" s="27" t="str">
        <f>"х"</f>
        <v>х</v>
      </c>
      <c r="AR98" s="27" t="str">
        <f t="shared" si="69"/>
        <v>нет</v>
      </c>
      <c r="AS98" s="27" t="str">
        <f t="shared" ref="AS98:AX98" si="91">"х"</f>
        <v>х</v>
      </c>
      <c r="AT98" s="27" t="str">
        <f t="shared" si="91"/>
        <v>х</v>
      </c>
      <c r="AU98" s="27" t="str">
        <f t="shared" si="91"/>
        <v>х</v>
      </c>
      <c r="AV98" s="27" t="str">
        <f t="shared" si="91"/>
        <v>х</v>
      </c>
      <c r="AW98" s="27" t="str">
        <f t="shared" si="91"/>
        <v>х</v>
      </c>
      <c r="AX98" s="27" t="str">
        <f t="shared" si="91"/>
        <v>х</v>
      </c>
      <c r="AY98" s="27" t="str">
        <f t="shared" si="70"/>
        <v>нет</v>
      </c>
      <c r="AZ98" s="27" t="str">
        <f>"х"</f>
        <v>х</v>
      </c>
      <c r="BA98" s="27" t="str">
        <f>"х"</f>
        <v>х</v>
      </c>
      <c r="BB98" s="27" t="str">
        <f>"х"</f>
        <v>х</v>
      </c>
      <c r="BC98" s="27" t="str">
        <f t="shared" si="71"/>
        <v>нет</v>
      </c>
      <c r="BD98" s="27" t="str">
        <f>"х"</f>
        <v>х</v>
      </c>
      <c r="BE98" s="27" t="str">
        <f>"х"</f>
        <v>х</v>
      </c>
      <c r="BF98" s="27" t="str">
        <f>"х"</f>
        <v>х</v>
      </c>
      <c r="BG98" s="27" t="str">
        <f>""</f>
        <v/>
      </c>
      <c r="BH98" s="27" t="str">
        <f>"65,00"</f>
        <v>65,00</v>
      </c>
      <c r="BI98" s="27" t="str">
        <f>"2016-2018"</f>
        <v>2016-2018</v>
      </c>
      <c r="BJ98" s="27" t="str">
        <f t="shared" si="81"/>
        <v>нет</v>
      </c>
      <c r="BK98" s="27" t="str">
        <f>"x"</f>
        <v>x</v>
      </c>
      <c r="BL98" s="27" t="str">
        <f>"60,00"</f>
        <v>60,00</v>
      </c>
      <c r="BM98" s="27" t="str">
        <f>"2025-2027"</f>
        <v>2025-2027</v>
      </c>
      <c r="BN98" s="27" t="str">
        <f>""</f>
        <v/>
      </c>
      <c r="BO98" s="27" t="str">
        <f>"60,00"</f>
        <v>60,00</v>
      </c>
      <c r="BP98" s="27" t="str">
        <f>"2034-2036"</f>
        <v>2034-2036</v>
      </c>
      <c r="BQ98" s="27" t="str">
        <f>""</f>
        <v/>
      </c>
      <c r="BR98" s="27" t="str">
        <f>"60,00"</f>
        <v>60,00</v>
      </c>
      <c r="BS98" s="27" t="str">
        <f>"2025-2027"</f>
        <v>2025-2027</v>
      </c>
      <c r="BT98" s="11"/>
      <c r="BU98" s="11"/>
      <c r="BV98" s="11"/>
      <c r="BW98" s="11"/>
      <c r="BX98" s="11"/>
      <c r="BY98" s="11"/>
      <c r="BZ98" s="11"/>
      <c r="CA98" s="11"/>
      <c r="CB98" s="11"/>
      <c r="CC98" s="11"/>
      <c r="CD98" s="11"/>
      <c r="CE98" s="11"/>
      <c r="CF98" s="11"/>
      <c r="CG98" s="11"/>
      <c r="CH98" s="11"/>
      <c r="CI98" s="11"/>
      <c r="CJ98" s="11"/>
      <c r="CK98" s="11"/>
      <c r="CL98" s="11"/>
      <c r="CM98" s="11"/>
      <c r="CN98" s="11"/>
      <c r="CO98" s="11"/>
      <c r="CP98" s="11"/>
      <c r="CQ98" s="11"/>
      <c r="CR98" s="11"/>
      <c r="CS98" s="11"/>
      <c r="CT98" s="11"/>
      <c r="CU98" s="11"/>
      <c r="CV98" s="11"/>
      <c r="CW98" s="11"/>
      <c r="CX98" s="11"/>
      <c r="CY98" s="11"/>
      <c r="CZ98" s="11"/>
      <c r="DA98" s="11"/>
      <c r="DB98" s="11"/>
      <c r="DC98" s="11"/>
      <c r="DD98" s="11"/>
      <c r="DE98" s="11"/>
      <c r="DF98" s="11"/>
      <c r="DG98" s="11"/>
      <c r="DH98" s="11"/>
      <c r="DI98" s="11"/>
      <c r="DJ98" s="11"/>
      <c r="DK98" s="11"/>
      <c r="DL98" s="11"/>
      <c r="DM98" s="11"/>
      <c r="DN98" s="11"/>
      <c r="DO98" s="11"/>
    </row>
    <row r="99" spans="1:119" s="10" customFormat="1" ht="11.25" customHeight="1">
      <c r="A99" s="24" t="str">
        <f>"1.86"</f>
        <v>1.86</v>
      </c>
      <c r="B99" s="25" t="str">
        <f>"г. Кириллов, ул. Преображенского, д.31"</f>
        <v>г. Кириллов, ул. Преображенского, д.31</v>
      </c>
      <c r="C99" s="26" t="str">
        <f>"1968"</f>
        <v>1968</v>
      </c>
      <c r="D99" s="27">
        <v>2015</v>
      </c>
      <c r="E99" s="27" t="str">
        <f>"90,00"</f>
        <v>90,00</v>
      </c>
      <c r="F99" s="27"/>
      <c r="G99" s="27" t="str">
        <f t="shared" si="85"/>
        <v>да</v>
      </c>
      <c r="H99" s="27" t="str">
        <f>"2011"</f>
        <v>2011</v>
      </c>
      <c r="I99" s="27" t="str">
        <f>"13,00"</f>
        <v>13,00</v>
      </c>
      <c r="J99" s="27" t="str">
        <f>"2027-2029"</f>
        <v>2027-2029</v>
      </c>
      <c r="K99" s="27" t="str">
        <f t="shared" si="75"/>
        <v>нет</v>
      </c>
      <c r="L99" s="27" t="str">
        <f>""</f>
        <v/>
      </c>
      <c r="M99" s="27" t="str">
        <f>""</f>
        <v/>
      </c>
      <c r="N99" s="27" t="str">
        <f>""</f>
        <v/>
      </c>
      <c r="O99" s="28" t="str">
        <f>""</f>
        <v/>
      </c>
      <c r="P99" s="27" t="str">
        <f>""</f>
        <v/>
      </c>
      <c r="Q99" s="27" t="str">
        <f>""</f>
        <v/>
      </c>
      <c r="R99" s="27" t="str">
        <f t="shared" si="90"/>
        <v>нет</v>
      </c>
      <c r="S99" s="27" t="str">
        <f>""</f>
        <v/>
      </c>
      <c r="T99" s="27" t="str">
        <f>""</f>
        <v/>
      </c>
      <c r="U99" s="27" t="str">
        <f>""</f>
        <v/>
      </c>
      <c r="V99" s="27" t="str">
        <f t="shared" si="76"/>
        <v>нет</v>
      </c>
      <c r="W99" s="27" t="str">
        <f>""</f>
        <v/>
      </c>
      <c r="X99" s="27" t="str">
        <f>""</f>
        <v/>
      </c>
      <c r="Y99" s="29" t="str">
        <f>""</f>
        <v/>
      </c>
      <c r="Z99" s="27" t="str">
        <f t="shared" si="80"/>
        <v>х</v>
      </c>
      <c r="AA99" s="27" t="str">
        <f t="shared" si="86"/>
        <v>х</v>
      </c>
      <c r="AB99" s="27" t="str">
        <f t="shared" si="86"/>
        <v>х</v>
      </c>
      <c r="AC99" s="27" t="str">
        <f t="shared" si="72"/>
        <v>нет</v>
      </c>
      <c r="AD99" s="27" t="str">
        <f t="shared" si="87"/>
        <v>х</v>
      </c>
      <c r="AE99" s="27" t="str">
        <f t="shared" si="87"/>
        <v>х</v>
      </c>
      <c r="AF99" s="27" t="str">
        <f t="shared" si="87"/>
        <v>х</v>
      </c>
      <c r="AG99" s="27" t="str">
        <f t="shared" si="73"/>
        <v>нет</v>
      </c>
      <c r="AH99" s="27" t="str">
        <f t="shared" si="88"/>
        <v>х</v>
      </c>
      <c r="AI99" s="27" t="str">
        <f t="shared" si="88"/>
        <v>х</v>
      </c>
      <c r="AJ99" s="27" t="str">
        <f t="shared" si="88"/>
        <v>х</v>
      </c>
      <c r="AK99" s="28" t="str">
        <f>"2009"</f>
        <v>2009</v>
      </c>
      <c r="AL99" s="27" t="str">
        <f>"13,00"</f>
        <v>13,00</v>
      </c>
      <c r="AM99" s="27" t="str">
        <f>"2039-2041"</f>
        <v>2039-2041</v>
      </c>
      <c r="AN99" s="30" t="str">
        <f t="shared" si="89"/>
        <v>нет</v>
      </c>
      <c r="AO99" s="27" t="str">
        <f>""</f>
        <v/>
      </c>
      <c r="AP99" s="27" t="str">
        <f>""</f>
        <v/>
      </c>
      <c r="AQ99" s="27" t="str">
        <f>""</f>
        <v/>
      </c>
      <c r="AR99" s="27" t="str">
        <f t="shared" si="69"/>
        <v>нет</v>
      </c>
      <c r="AS99" s="27" t="str">
        <f>""</f>
        <v/>
      </c>
      <c r="AT99" s="27" t="str">
        <f>""</f>
        <v/>
      </c>
      <c r="AU99" s="27" t="str">
        <f>""</f>
        <v/>
      </c>
      <c r="AV99" s="27" t="str">
        <f>"2009"</f>
        <v>2009</v>
      </c>
      <c r="AW99" s="27" t="str">
        <f>"8,00"</f>
        <v>8,00</v>
      </c>
      <c r="AX99" s="27" t="str">
        <f>"2045-2047"</f>
        <v>2045-2047</v>
      </c>
      <c r="AY99" s="27" t="str">
        <f t="shared" si="70"/>
        <v>нет</v>
      </c>
      <c r="AZ99" s="27" t="str">
        <f>""</f>
        <v/>
      </c>
      <c r="BA99" s="27" t="str">
        <f>""</f>
        <v/>
      </c>
      <c r="BB99" s="27" t="str">
        <f>""</f>
        <v/>
      </c>
      <c r="BC99" s="27" t="str">
        <f t="shared" si="71"/>
        <v>нет</v>
      </c>
      <c r="BD99" s="27" t="str">
        <f>""</f>
        <v/>
      </c>
      <c r="BE99" s="27" t="str">
        <f>""</f>
        <v/>
      </c>
      <c r="BF99" s="27" t="str">
        <f>""</f>
        <v/>
      </c>
      <c r="BG99" s="27" t="str">
        <f>""</f>
        <v/>
      </c>
      <c r="BH99" s="27" t="str">
        <f>"65,00"</f>
        <v>65,00</v>
      </c>
      <c r="BI99" s="27" t="str">
        <f>"2024-2026"</f>
        <v>2024-2026</v>
      </c>
      <c r="BJ99" s="27" t="str">
        <f t="shared" si="81"/>
        <v>нет</v>
      </c>
      <c r="BK99" s="27" t="str">
        <f>"2004"</f>
        <v>2004</v>
      </c>
      <c r="BL99" s="27" t="str">
        <f>"18,00"</f>
        <v>18,00</v>
      </c>
      <c r="BM99" s="27" t="str">
        <f>"2045-2047"</f>
        <v>2045-2047</v>
      </c>
      <c r="BN99" s="27" t="str">
        <f>""</f>
        <v/>
      </c>
      <c r="BO99" s="27" t="str">
        <f>"60,00"</f>
        <v>60,00</v>
      </c>
      <c r="BP99" s="27" t="str">
        <f>"2034-2036"</f>
        <v>2034-2036</v>
      </c>
      <c r="BQ99" s="27" t="str">
        <f>"2004"</f>
        <v>2004</v>
      </c>
      <c r="BR99" s="27" t="str">
        <f>"18,00"</f>
        <v>18,00</v>
      </c>
      <c r="BS99" s="27" t="str">
        <f>"2045-2047"</f>
        <v>2045-2047</v>
      </c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/>
      <c r="CO99" s="11"/>
      <c r="CP99" s="11"/>
      <c r="CQ99" s="11"/>
      <c r="CR99" s="11"/>
      <c r="CS99" s="11"/>
      <c r="CT99" s="11"/>
      <c r="CU99" s="11"/>
      <c r="CV99" s="11"/>
      <c r="CW99" s="11"/>
      <c r="CX99" s="11"/>
      <c r="CY99" s="11"/>
      <c r="CZ99" s="11"/>
      <c r="DA99" s="11"/>
      <c r="DB99" s="11"/>
      <c r="DC99" s="11"/>
      <c r="DD99" s="11"/>
      <c r="DE99" s="11"/>
      <c r="DF99" s="11"/>
      <c r="DG99" s="11"/>
      <c r="DH99" s="11"/>
      <c r="DI99" s="11"/>
      <c r="DJ99" s="11"/>
      <c r="DK99" s="11"/>
      <c r="DL99" s="11"/>
      <c r="DM99" s="11"/>
      <c r="DN99" s="11"/>
      <c r="DO99" s="11"/>
    </row>
    <row r="100" spans="1:119" s="10" customFormat="1" ht="11.25" customHeight="1">
      <c r="A100" s="24" t="str">
        <f>"1.87"</f>
        <v>1.87</v>
      </c>
      <c r="B100" s="25" t="str">
        <f>"г. Кириллов, ул. Преображенского, д.36"</f>
        <v>г. Кириллов, ул. Преображенского, д.36</v>
      </c>
      <c r="C100" s="26" t="str">
        <f>"2004"</f>
        <v>2004</v>
      </c>
      <c r="D100" s="27" t="str">
        <f>"2004"</f>
        <v>2004</v>
      </c>
      <c r="E100" s="27" t="str">
        <f>"30,00"</f>
        <v>30,00</v>
      </c>
      <c r="F100" s="27" t="str">
        <f>"2024-2026"</f>
        <v>2024-2026</v>
      </c>
      <c r="G100" s="27" t="str">
        <f t="shared" si="85"/>
        <v>да</v>
      </c>
      <c r="H100" s="27" t="str">
        <f>"2004"</f>
        <v>2004</v>
      </c>
      <c r="I100" s="27" t="str">
        <f>"56,00"</f>
        <v>56,00</v>
      </c>
      <c r="J100" s="27" t="str">
        <f>"2020-2022"</f>
        <v>2020-2022</v>
      </c>
      <c r="K100" s="27" t="str">
        <f t="shared" si="75"/>
        <v>нет</v>
      </c>
      <c r="L100" s="27" t="str">
        <f>""</f>
        <v/>
      </c>
      <c r="M100" s="27" t="str">
        <f>""</f>
        <v/>
      </c>
      <c r="N100" s="27" t="str">
        <f>""</f>
        <v/>
      </c>
      <c r="O100" s="28" t="str">
        <f>"2004"</f>
        <v>2004</v>
      </c>
      <c r="P100" s="27" t="str">
        <f>"23,00"</f>
        <v>23,00</v>
      </c>
      <c r="Q100" s="27" t="str">
        <f>"2029-2031"</f>
        <v>2029-2031</v>
      </c>
      <c r="R100" s="27" t="str">
        <f t="shared" si="90"/>
        <v>нет</v>
      </c>
      <c r="S100" s="27" t="str">
        <f>""</f>
        <v/>
      </c>
      <c r="T100" s="27" t="str">
        <f>""</f>
        <v/>
      </c>
      <c r="U100" s="27">
        <v>2019</v>
      </c>
      <c r="V100" s="27" t="str">
        <f t="shared" si="76"/>
        <v>нет</v>
      </c>
      <c r="W100" s="27" t="str">
        <f>""</f>
        <v/>
      </c>
      <c r="X100" s="27" t="str">
        <f>""</f>
        <v/>
      </c>
      <c r="Y100" s="29" t="str">
        <f>""</f>
        <v/>
      </c>
      <c r="Z100" s="27" t="str">
        <f t="shared" si="80"/>
        <v>х</v>
      </c>
      <c r="AA100" s="27" t="str">
        <f t="shared" si="86"/>
        <v>х</v>
      </c>
      <c r="AB100" s="27" t="str">
        <f t="shared" si="86"/>
        <v>х</v>
      </c>
      <c r="AC100" s="27" t="str">
        <f t="shared" si="72"/>
        <v>нет</v>
      </c>
      <c r="AD100" s="27" t="str">
        <f t="shared" si="87"/>
        <v>х</v>
      </c>
      <c r="AE100" s="27" t="str">
        <f t="shared" si="87"/>
        <v>х</v>
      </c>
      <c r="AF100" s="27" t="str">
        <f t="shared" si="87"/>
        <v>х</v>
      </c>
      <c r="AG100" s="27" t="str">
        <f t="shared" si="73"/>
        <v>нет</v>
      </c>
      <c r="AH100" s="27" t="str">
        <f t="shared" si="88"/>
        <v>х</v>
      </c>
      <c r="AI100" s="27" t="str">
        <f t="shared" si="88"/>
        <v>х</v>
      </c>
      <c r="AJ100" s="27" t="str">
        <f t="shared" si="88"/>
        <v>х</v>
      </c>
      <c r="AK100" s="28" t="str">
        <f>"2004"</f>
        <v>2004</v>
      </c>
      <c r="AL100" s="27" t="str">
        <f>"36,00"</f>
        <v>36,00</v>
      </c>
      <c r="AM100" s="27" t="str">
        <f>"2035-2037"</f>
        <v>2035-2037</v>
      </c>
      <c r="AN100" s="30" t="str">
        <f t="shared" si="89"/>
        <v>нет</v>
      </c>
      <c r="AO100" s="27" t="str">
        <f>""</f>
        <v/>
      </c>
      <c r="AP100" s="27" t="str">
        <f>""</f>
        <v/>
      </c>
      <c r="AQ100" s="27" t="str">
        <f>""</f>
        <v/>
      </c>
      <c r="AR100" s="27" t="str">
        <f t="shared" si="69"/>
        <v>нет</v>
      </c>
      <c r="AS100" s="27" t="str">
        <f>""</f>
        <v/>
      </c>
      <c r="AT100" s="27" t="str">
        <f>""</f>
        <v/>
      </c>
      <c r="AU100" s="27" t="str">
        <f>""</f>
        <v/>
      </c>
      <c r="AV100" s="27" t="str">
        <f>"2004"</f>
        <v>2004</v>
      </c>
      <c r="AW100" s="27" t="str">
        <f>"36,00"</f>
        <v>36,00</v>
      </c>
      <c r="AX100" s="27" t="str">
        <f>"2044-2046"</f>
        <v>2044-2046</v>
      </c>
      <c r="AY100" s="27" t="str">
        <f t="shared" si="70"/>
        <v>нет</v>
      </c>
      <c r="AZ100" s="27" t="str">
        <f>""</f>
        <v/>
      </c>
      <c r="BA100" s="27" t="str">
        <f>""</f>
        <v/>
      </c>
      <c r="BB100" s="27" t="str">
        <f>""</f>
        <v/>
      </c>
      <c r="BC100" s="27" t="str">
        <f t="shared" si="71"/>
        <v>нет</v>
      </c>
      <c r="BD100" s="27" t="str">
        <f>""</f>
        <v/>
      </c>
      <c r="BE100" s="27" t="str">
        <f>""</f>
        <v/>
      </c>
      <c r="BF100" s="27" t="str">
        <f>""</f>
        <v/>
      </c>
      <c r="BG100" s="27" t="str">
        <f>"2004"</f>
        <v>2004</v>
      </c>
      <c r="BH100" s="27" t="str">
        <f>"15,00"</f>
        <v>15,00</v>
      </c>
      <c r="BI100" s="27" t="str">
        <f>"2041-2043"</f>
        <v>2041-2043</v>
      </c>
      <c r="BJ100" s="27" t="str">
        <f t="shared" si="81"/>
        <v>нет</v>
      </c>
      <c r="BK100" s="27" t="str">
        <f t="shared" ref="BK100:BK140" si="92">"x"</f>
        <v>x</v>
      </c>
      <c r="BL100" s="27" t="str">
        <f>"18,00"</f>
        <v>18,00</v>
      </c>
      <c r="BM100" s="27" t="str">
        <f>"2044-2046"</f>
        <v>2044-2046</v>
      </c>
      <c r="BN100" s="27" t="str">
        <f>""</f>
        <v/>
      </c>
      <c r="BO100" s="27" t="str">
        <f>"18,00"</f>
        <v>18,00</v>
      </c>
      <c r="BP100" s="27" t="str">
        <f>"2034-2036"</f>
        <v>2034-2036</v>
      </c>
      <c r="BQ100" s="27" t="str">
        <f>""</f>
        <v/>
      </c>
      <c r="BR100" s="27" t="str">
        <f>"18,00"</f>
        <v>18,00</v>
      </c>
      <c r="BS100" s="27" t="str">
        <f>"2044-2046"</f>
        <v>2044-2046</v>
      </c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  <c r="CG100" s="11"/>
      <c r="CH100" s="11"/>
      <c r="CI100" s="11"/>
      <c r="CJ100" s="11"/>
      <c r="CK100" s="11"/>
      <c r="CL100" s="11"/>
      <c r="CM100" s="11"/>
      <c r="CN100" s="11"/>
      <c r="CO100" s="11"/>
      <c r="CP100" s="11"/>
      <c r="CQ100" s="11"/>
      <c r="CR100" s="11"/>
      <c r="CS100" s="11"/>
      <c r="CT100" s="11"/>
      <c r="CU100" s="11"/>
      <c r="CV100" s="11"/>
      <c r="CW100" s="11"/>
      <c r="CX100" s="11"/>
      <c r="CY100" s="11"/>
      <c r="CZ100" s="11"/>
      <c r="DA100" s="11"/>
      <c r="DB100" s="11"/>
      <c r="DC100" s="11"/>
      <c r="DD100" s="11"/>
      <c r="DE100" s="11"/>
      <c r="DF100" s="11"/>
      <c r="DG100" s="11"/>
      <c r="DH100" s="11"/>
      <c r="DI100" s="11"/>
      <c r="DJ100" s="11"/>
      <c r="DK100" s="11"/>
      <c r="DL100" s="11"/>
      <c r="DM100" s="11"/>
      <c r="DN100" s="11"/>
      <c r="DO100" s="11"/>
    </row>
    <row r="101" spans="1:119" s="10" customFormat="1" ht="11.25" customHeight="1">
      <c r="A101" s="24" t="str">
        <f>"1.88"</f>
        <v>1.88</v>
      </c>
      <c r="B101" s="25" t="str">
        <f>"г. Кириллов, ул. Преображенского, д.40"</f>
        <v>г. Кириллов, ул. Преображенского, д.40</v>
      </c>
      <c r="C101" s="26" t="str">
        <f>"1969"</f>
        <v>1969</v>
      </c>
      <c r="D101" s="27" t="str">
        <f>"1989"</f>
        <v>1989</v>
      </c>
      <c r="E101" s="27" t="str">
        <f>"80,00"</f>
        <v>80,00</v>
      </c>
      <c r="F101" s="27" t="str">
        <f>"2024-2026"</f>
        <v>2024-2026</v>
      </c>
      <c r="G101" s="27" t="str">
        <f t="shared" si="85"/>
        <v>да</v>
      </c>
      <c r="H101" s="27" t="str">
        <f>"2011"</f>
        <v>2011</v>
      </c>
      <c r="I101" s="27" t="str">
        <f>"13,00"</f>
        <v>13,00</v>
      </c>
      <c r="J101" s="27" t="str">
        <f>"2027-2029"</f>
        <v>2027-2029</v>
      </c>
      <c r="K101" s="27" t="str">
        <f t="shared" si="75"/>
        <v>нет</v>
      </c>
      <c r="L101" s="27" t="str">
        <f>""</f>
        <v/>
      </c>
      <c r="M101" s="27" t="str">
        <f>""</f>
        <v/>
      </c>
      <c r="N101" s="27" t="str">
        <f>""</f>
        <v/>
      </c>
      <c r="O101" s="28" t="str">
        <f>""</f>
        <v/>
      </c>
      <c r="P101" s="27" t="str">
        <f>""</f>
        <v/>
      </c>
      <c r="Q101" s="27" t="str">
        <f>""</f>
        <v/>
      </c>
      <c r="R101" s="27" t="str">
        <f t="shared" si="90"/>
        <v>нет</v>
      </c>
      <c r="S101" s="27" t="str">
        <f>""</f>
        <v/>
      </c>
      <c r="T101" s="27" t="str">
        <f>""</f>
        <v/>
      </c>
      <c r="U101" s="27" t="str">
        <f>""</f>
        <v/>
      </c>
      <c r="V101" s="27" t="str">
        <f t="shared" si="76"/>
        <v>нет</v>
      </c>
      <c r="W101" s="27" t="str">
        <f>""</f>
        <v/>
      </c>
      <c r="X101" s="27" t="str">
        <f>""</f>
        <v/>
      </c>
      <c r="Y101" s="29" t="str">
        <f>""</f>
        <v/>
      </c>
      <c r="Z101" s="27" t="str">
        <f t="shared" si="80"/>
        <v>х</v>
      </c>
      <c r="AA101" s="27" t="str">
        <f t="shared" si="86"/>
        <v>х</v>
      </c>
      <c r="AB101" s="27" t="str">
        <f t="shared" si="86"/>
        <v>х</v>
      </c>
      <c r="AC101" s="27" t="str">
        <f t="shared" si="72"/>
        <v>нет</v>
      </c>
      <c r="AD101" s="27" t="str">
        <f t="shared" si="87"/>
        <v>х</v>
      </c>
      <c r="AE101" s="27" t="str">
        <f t="shared" si="87"/>
        <v>х</v>
      </c>
      <c r="AF101" s="27" t="str">
        <f t="shared" si="87"/>
        <v>х</v>
      </c>
      <c r="AG101" s="27" t="str">
        <f t="shared" si="73"/>
        <v>нет</v>
      </c>
      <c r="AH101" s="27" t="str">
        <f t="shared" si="88"/>
        <v>х</v>
      </c>
      <c r="AI101" s="27" t="str">
        <f t="shared" si="88"/>
        <v>х</v>
      </c>
      <c r="AJ101" s="27" t="str">
        <f t="shared" si="88"/>
        <v>х</v>
      </c>
      <c r="AK101" s="28" t="str">
        <f>"2004"</f>
        <v>2004</v>
      </c>
      <c r="AL101" s="27" t="str">
        <f>"30,00"</f>
        <v>30,00</v>
      </c>
      <c r="AM101" s="27" t="str">
        <f>"2034-2036"</f>
        <v>2034-2036</v>
      </c>
      <c r="AN101" s="30" t="str">
        <f t="shared" si="89"/>
        <v>нет</v>
      </c>
      <c r="AO101" s="27" t="str">
        <f>""</f>
        <v/>
      </c>
      <c r="AP101" s="27" t="str">
        <f>""</f>
        <v/>
      </c>
      <c r="AQ101" s="27" t="str">
        <f>""</f>
        <v/>
      </c>
      <c r="AR101" s="27" t="str">
        <f t="shared" si="69"/>
        <v>нет</v>
      </c>
      <c r="AS101" s="27" t="str">
        <f>""</f>
        <v/>
      </c>
      <c r="AT101" s="27" t="str">
        <f>""</f>
        <v/>
      </c>
      <c r="AU101" s="27" t="str">
        <f>""</f>
        <v/>
      </c>
      <c r="AV101" s="27" t="str">
        <f>"2004"</f>
        <v>2004</v>
      </c>
      <c r="AW101" s="27" t="str">
        <f>"36,00"</f>
        <v>36,00</v>
      </c>
      <c r="AX101" s="27" t="str">
        <f>"2044-2046"</f>
        <v>2044-2046</v>
      </c>
      <c r="AY101" s="27" t="str">
        <f t="shared" si="70"/>
        <v>нет</v>
      </c>
      <c r="AZ101" s="27" t="str">
        <f>""</f>
        <v/>
      </c>
      <c r="BA101" s="27" t="str">
        <f>""</f>
        <v/>
      </c>
      <c r="BB101" s="27" t="str">
        <f>""</f>
        <v/>
      </c>
      <c r="BC101" s="27" t="str">
        <f t="shared" si="71"/>
        <v>нет</v>
      </c>
      <c r="BD101" s="27" t="str">
        <f>""</f>
        <v/>
      </c>
      <c r="BE101" s="27" t="str">
        <f>""</f>
        <v/>
      </c>
      <c r="BF101" s="27" t="str">
        <f>""</f>
        <v/>
      </c>
      <c r="BG101" s="27" t="str">
        <f>""</f>
        <v/>
      </c>
      <c r="BH101" s="27" t="str">
        <f>"60,00"</f>
        <v>60,00</v>
      </c>
      <c r="BI101" s="27" t="str">
        <f>"2019-2021"</f>
        <v>2019-2021</v>
      </c>
      <c r="BJ101" s="27" t="str">
        <f t="shared" si="81"/>
        <v>нет</v>
      </c>
      <c r="BK101" s="27" t="str">
        <f t="shared" si="92"/>
        <v>x</v>
      </c>
      <c r="BL101" s="27" t="str">
        <f>"60,00"</f>
        <v>60,00</v>
      </c>
      <c r="BM101" s="27" t="str">
        <f>"2024-2026"</f>
        <v>2024-2026</v>
      </c>
      <c r="BN101" s="27" t="str">
        <f>""</f>
        <v/>
      </c>
      <c r="BO101" s="27" t="str">
        <f>"60,00"</f>
        <v>60,00</v>
      </c>
      <c r="BP101" s="27" t="str">
        <f>"2037-2039"</f>
        <v>2037-2039</v>
      </c>
      <c r="BQ101" s="27" t="str">
        <f>""</f>
        <v/>
      </c>
      <c r="BR101" s="27" t="str">
        <f>"60,00"</f>
        <v>60,00</v>
      </c>
      <c r="BS101" s="27" t="str">
        <f>"2024-2026"</f>
        <v>2024-2026</v>
      </c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/>
      <c r="CO101" s="11"/>
      <c r="CP101" s="11"/>
      <c r="CQ101" s="11"/>
      <c r="CR101" s="11"/>
      <c r="CS101" s="11"/>
      <c r="CT101" s="11"/>
      <c r="CU101" s="11"/>
      <c r="CV101" s="11"/>
      <c r="CW101" s="11"/>
      <c r="CX101" s="11"/>
      <c r="CY101" s="11"/>
      <c r="CZ101" s="11"/>
      <c r="DA101" s="11"/>
      <c r="DB101" s="11"/>
      <c r="DC101" s="11"/>
      <c r="DD101" s="11"/>
      <c r="DE101" s="11"/>
      <c r="DF101" s="11"/>
      <c r="DG101" s="11"/>
      <c r="DH101" s="11"/>
      <c r="DI101" s="11"/>
      <c r="DJ101" s="11"/>
      <c r="DK101" s="11"/>
      <c r="DL101" s="11"/>
      <c r="DM101" s="11"/>
      <c r="DN101" s="11"/>
      <c r="DO101" s="11"/>
    </row>
    <row r="102" spans="1:119" s="9" customFormat="1" ht="11.25" customHeight="1">
      <c r="A102" s="24" t="str">
        <f>"1.89"</f>
        <v>1.89</v>
      </c>
      <c r="B102" s="25" t="str">
        <f>"г. Кириллов, ул. Преображенского, д.42"</f>
        <v>г. Кириллов, ул. Преображенского, д.42</v>
      </c>
      <c r="C102" s="26" t="str">
        <f>"1974"</f>
        <v>1974</v>
      </c>
      <c r="D102" s="27" t="str">
        <f>"1974"</f>
        <v>1974</v>
      </c>
      <c r="E102" s="27" t="str">
        <f>"90,00"</f>
        <v>90,00</v>
      </c>
      <c r="F102" s="27" t="str">
        <f>"2024-2026"</f>
        <v>2024-2026</v>
      </c>
      <c r="G102" s="27" t="str">
        <f t="shared" si="85"/>
        <v>да</v>
      </c>
      <c r="H102" s="27" t="str">
        <f>"2011"</f>
        <v>2011</v>
      </c>
      <c r="I102" s="27" t="str">
        <f>"13,00"</f>
        <v>13,00</v>
      </c>
      <c r="J102" s="27" t="str">
        <f>"2027-2029"</f>
        <v>2027-2029</v>
      </c>
      <c r="K102" s="27" t="str">
        <f t="shared" si="75"/>
        <v>нет</v>
      </c>
      <c r="L102" s="27" t="str">
        <f>""</f>
        <v/>
      </c>
      <c r="M102" s="27" t="str">
        <f>""</f>
        <v/>
      </c>
      <c r="N102" s="27" t="str">
        <f>""</f>
        <v/>
      </c>
      <c r="O102" s="28" t="str">
        <f>""</f>
        <v/>
      </c>
      <c r="P102" s="27" t="str">
        <f>""</f>
        <v/>
      </c>
      <c r="Q102" s="27" t="str">
        <f>""</f>
        <v/>
      </c>
      <c r="R102" s="27" t="str">
        <f t="shared" si="90"/>
        <v>нет</v>
      </c>
      <c r="S102" s="27" t="str">
        <f>""</f>
        <v/>
      </c>
      <c r="T102" s="27" t="str">
        <f>""</f>
        <v/>
      </c>
      <c r="U102" s="27" t="str">
        <f>""</f>
        <v/>
      </c>
      <c r="V102" s="27" t="str">
        <f t="shared" si="76"/>
        <v>нет</v>
      </c>
      <c r="W102" s="27" t="str">
        <f>""</f>
        <v/>
      </c>
      <c r="X102" s="27" t="str">
        <f>""</f>
        <v/>
      </c>
      <c r="Y102" s="29" t="str">
        <f>""</f>
        <v/>
      </c>
      <c r="Z102" s="27" t="str">
        <f t="shared" si="80"/>
        <v>х</v>
      </c>
      <c r="AA102" s="27" t="str">
        <f t="shared" si="86"/>
        <v>х</v>
      </c>
      <c r="AB102" s="27" t="str">
        <f t="shared" si="86"/>
        <v>х</v>
      </c>
      <c r="AC102" s="27" t="str">
        <f t="shared" si="72"/>
        <v>нет</v>
      </c>
      <c r="AD102" s="27" t="str">
        <f t="shared" si="87"/>
        <v>х</v>
      </c>
      <c r="AE102" s="27" t="str">
        <f t="shared" si="87"/>
        <v>х</v>
      </c>
      <c r="AF102" s="27" t="str">
        <f t="shared" si="87"/>
        <v>х</v>
      </c>
      <c r="AG102" s="27" t="str">
        <f t="shared" si="73"/>
        <v>нет</v>
      </c>
      <c r="AH102" s="27" t="str">
        <f t="shared" si="88"/>
        <v>х</v>
      </c>
      <c r="AI102" s="27" t="str">
        <f t="shared" si="88"/>
        <v>х</v>
      </c>
      <c r="AJ102" s="27" t="str">
        <f t="shared" si="88"/>
        <v>х</v>
      </c>
      <c r="AK102" s="28" t="str">
        <f>"2004"</f>
        <v>2004</v>
      </c>
      <c r="AL102" s="27" t="str">
        <f>"30,00"</f>
        <v>30,00</v>
      </c>
      <c r="AM102" s="27" t="str">
        <f>"2034-2036"</f>
        <v>2034-2036</v>
      </c>
      <c r="AN102" s="30" t="str">
        <f t="shared" si="89"/>
        <v>нет</v>
      </c>
      <c r="AO102" s="27" t="str">
        <f>""</f>
        <v/>
      </c>
      <c r="AP102" s="27" t="str">
        <f>""</f>
        <v/>
      </c>
      <c r="AQ102" s="27" t="str">
        <f>""</f>
        <v/>
      </c>
      <c r="AR102" s="27" t="str">
        <f t="shared" si="69"/>
        <v>нет</v>
      </c>
      <c r="AS102" s="27" t="str">
        <f>""</f>
        <v/>
      </c>
      <c r="AT102" s="27" t="str">
        <f>""</f>
        <v/>
      </c>
      <c r="AU102" s="27" t="str">
        <f>""</f>
        <v/>
      </c>
      <c r="AV102" s="27" t="str">
        <f>"2004"</f>
        <v>2004</v>
      </c>
      <c r="AW102" s="27" t="str">
        <f>"18,00"</f>
        <v>18,00</v>
      </c>
      <c r="AX102" s="27" t="str">
        <f>"2044-2046"</f>
        <v>2044-2046</v>
      </c>
      <c r="AY102" s="27" t="str">
        <f t="shared" si="70"/>
        <v>нет</v>
      </c>
      <c r="AZ102" s="27" t="str">
        <f>""</f>
        <v/>
      </c>
      <c r="BA102" s="27" t="str">
        <f>""</f>
        <v/>
      </c>
      <c r="BB102" s="27" t="str">
        <f>""</f>
        <v/>
      </c>
      <c r="BC102" s="27" t="str">
        <f t="shared" si="71"/>
        <v>нет</v>
      </c>
      <c r="BD102" s="27" t="str">
        <f>""</f>
        <v/>
      </c>
      <c r="BE102" s="27" t="str">
        <f>""</f>
        <v/>
      </c>
      <c r="BF102" s="27" t="str">
        <f>""</f>
        <v/>
      </c>
      <c r="BG102" s="27" t="str">
        <f>""</f>
        <v/>
      </c>
      <c r="BH102" s="27" t="str">
        <f>"65,00"</f>
        <v>65,00</v>
      </c>
      <c r="BI102" s="27" t="str">
        <f>"2023-2025"</f>
        <v>2023-2025</v>
      </c>
      <c r="BJ102" s="27" t="str">
        <f t="shared" si="81"/>
        <v>нет</v>
      </c>
      <c r="BK102" s="27" t="str">
        <f t="shared" si="92"/>
        <v>x</v>
      </c>
      <c r="BL102" s="27" t="str">
        <f>"60,00"</f>
        <v>60,00</v>
      </c>
      <c r="BM102" s="27" t="str">
        <f>"2019-2021"</f>
        <v>2019-2021</v>
      </c>
      <c r="BN102" s="27" t="str">
        <f>""</f>
        <v/>
      </c>
      <c r="BO102" s="27" t="str">
        <f>"60,00"</f>
        <v>60,00</v>
      </c>
      <c r="BP102" s="27" t="str">
        <f>"2026-2028"</f>
        <v>2026-2028</v>
      </c>
      <c r="BQ102" s="27" t="str">
        <f>""</f>
        <v/>
      </c>
      <c r="BR102" s="27" t="str">
        <f>"60,00"</f>
        <v>60,00</v>
      </c>
      <c r="BS102" s="27" t="str">
        <f>"2019-2021"</f>
        <v>2019-2021</v>
      </c>
      <c r="BT102" s="11"/>
      <c r="BU102" s="11"/>
      <c r="BV102" s="11"/>
      <c r="BW102" s="11"/>
      <c r="BX102" s="11"/>
      <c r="BY102" s="11"/>
      <c r="BZ102" s="11"/>
      <c r="CA102" s="11"/>
      <c r="CB102" s="11"/>
      <c r="CC102" s="11"/>
      <c r="CD102" s="11"/>
      <c r="CE102" s="11"/>
      <c r="CF102" s="11"/>
      <c r="CG102" s="11"/>
      <c r="CH102" s="11"/>
      <c r="CI102" s="11"/>
      <c r="CJ102" s="11"/>
      <c r="CK102" s="11"/>
      <c r="CL102" s="11"/>
      <c r="CM102" s="11"/>
      <c r="CN102" s="11"/>
      <c r="CO102" s="11"/>
      <c r="CP102" s="11"/>
      <c r="CQ102" s="11"/>
      <c r="CR102" s="11"/>
      <c r="CS102" s="11"/>
      <c r="CT102" s="11"/>
      <c r="CU102" s="11"/>
      <c r="CV102" s="11"/>
      <c r="CW102" s="11"/>
      <c r="CX102" s="11"/>
      <c r="CY102" s="11"/>
      <c r="CZ102" s="11"/>
      <c r="DA102" s="11"/>
      <c r="DB102" s="11"/>
      <c r="DC102" s="11"/>
      <c r="DD102" s="11"/>
      <c r="DE102" s="11"/>
      <c r="DF102" s="11"/>
      <c r="DG102" s="11"/>
      <c r="DH102" s="11"/>
      <c r="DI102" s="11"/>
      <c r="DJ102" s="11"/>
      <c r="DK102" s="11"/>
      <c r="DL102" s="11"/>
      <c r="DM102" s="11"/>
      <c r="DN102" s="11"/>
      <c r="DO102" s="11"/>
    </row>
    <row r="103" spans="1:119" s="10" customFormat="1" ht="11.25" customHeight="1">
      <c r="A103" s="24" t="str">
        <f>"1.90"</f>
        <v>1.90</v>
      </c>
      <c r="B103" s="25" t="str">
        <f>"г. Кириллов, ул. Преображенского, д.6А"</f>
        <v>г. Кириллов, ул. Преображенского, д.6А</v>
      </c>
      <c r="C103" s="26" t="str">
        <f>"1962"</f>
        <v>1962</v>
      </c>
      <c r="D103" s="27" t="str">
        <f>"1983"</f>
        <v>1983</v>
      </c>
      <c r="E103" s="27" t="str">
        <f>"90,00"</f>
        <v>90,00</v>
      </c>
      <c r="F103" s="27" t="str">
        <f>"2024-2026"</f>
        <v>2024-2026</v>
      </c>
      <c r="G103" s="27" t="str">
        <f t="shared" si="85"/>
        <v>да</v>
      </c>
      <c r="H103" s="27" t="str">
        <f>"2012"</f>
        <v>2012</v>
      </c>
      <c r="I103" s="27" t="str">
        <f>"6,00"</f>
        <v>6,00</v>
      </c>
      <c r="J103" s="27" t="str">
        <f>"2028-2030"</f>
        <v>2028-2030</v>
      </c>
      <c r="K103" s="27" t="str">
        <f t="shared" si="75"/>
        <v>нет</v>
      </c>
      <c r="L103" s="27" t="str">
        <f>""</f>
        <v/>
      </c>
      <c r="M103" s="27" t="str">
        <f>""</f>
        <v/>
      </c>
      <c r="N103" s="27" t="str">
        <f>""</f>
        <v/>
      </c>
      <c r="O103" s="28" t="str">
        <f>""</f>
        <v/>
      </c>
      <c r="P103" s="27" t="str">
        <f>""</f>
        <v/>
      </c>
      <c r="Q103" s="27" t="str">
        <f>""</f>
        <v/>
      </c>
      <c r="R103" s="27" t="str">
        <f t="shared" si="90"/>
        <v>нет</v>
      </c>
      <c r="S103" s="27" t="str">
        <f>""</f>
        <v/>
      </c>
      <c r="T103" s="27" t="str">
        <f>""</f>
        <v/>
      </c>
      <c r="U103" s="27" t="str">
        <f>""</f>
        <v/>
      </c>
      <c r="V103" s="27" t="str">
        <f t="shared" si="76"/>
        <v>нет</v>
      </c>
      <c r="W103" s="27" t="str">
        <f>""</f>
        <v/>
      </c>
      <c r="X103" s="27" t="str">
        <f>""</f>
        <v/>
      </c>
      <c r="Y103" s="29" t="str">
        <f>""</f>
        <v/>
      </c>
      <c r="Z103" s="27" t="str">
        <f t="shared" si="80"/>
        <v>х</v>
      </c>
      <c r="AA103" s="27" t="str">
        <f t="shared" si="86"/>
        <v>х</v>
      </c>
      <c r="AB103" s="27" t="str">
        <f t="shared" si="86"/>
        <v>х</v>
      </c>
      <c r="AC103" s="27" t="str">
        <f t="shared" si="72"/>
        <v>нет</v>
      </c>
      <c r="AD103" s="27" t="str">
        <f t="shared" si="87"/>
        <v>х</v>
      </c>
      <c r="AE103" s="27" t="str">
        <f t="shared" si="87"/>
        <v>х</v>
      </c>
      <c r="AF103" s="27" t="str">
        <f t="shared" si="87"/>
        <v>х</v>
      </c>
      <c r="AG103" s="27" t="str">
        <f t="shared" si="73"/>
        <v>нет</v>
      </c>
      <c r="AH103" s="27" t="str">
        <f t="shared" si="88"/>
        <v>х</v>
      </c>
      <c r="AI103" s="27" t="str">
        <f t="shared" si="88"/>
        <v>х</v>
      </c>
      <c r="AJ103" s="27" t="str">
        <f t="shared" si="88"/>
        <v>х</v>
      </c>
      <c r="AK103" s="28" t="str">
        <f>"2007"</f>
        <v>2007</v>
      </c>
      <c r="AL103" s="27" t="str">
        <f>"20,00"</f>
        <v>20,00</v>
      </c>
      <c r="AM103" s="27" t="str">
        <f>"2037-2039"</f>
        <v>2037-2039</v>
      </c>
      <c r="AN103" s="30" t="str">
        <f t="shared" si="89"/>
        <v>нет</v>
      </c>
      <c r="AO103" s="27" t="str">
        <f>""</f>
        <v/>
      </c>
      <c r="AP103" s="27" t="str">
        <f>""</f>
        <v/>
      </c>
      <c r="AQ103" s="27" t="str">
        <f>""</f>
        <v/>
      </c>
      <c r="AR103" s="27" t="str">
        <f t="shared" ref="AR103:AR134" si="93">"нет"</f>
        <v>нет</v>
      </c>
      <c r="AS103" s="27" t="str">
        <f>""</f>
        <v/>
      </c>
      <c r="AT103" s="27" t="str">
        <f>""</f>
        <v/>
      </c>
      <c r="AU103" s="27" t="str">
        <f>""</f>
        <v/>
      </c>
      <c r="AV103" s="27" t="str">
        <f>"2007"</f>
        <v>2007</v>
      </c>
      <c r="AW103" s="27" t="str">
        <f>"24,00"</f>
        <v>24,00</v>
      </c>
      <c r="AX103" s="27" t="str">
        <f>"2045-2047"</f>
        <v>2045-2047</v>
      </c>
      <c r="AY103" s="27" t="str">
        <f t="shared" ref="AY103:AY134" si="94">"нет"</f>
        <v>нет</v>
      </c>
      <c r="AZ103" s="27" t="str">
        <f>""</f>
        <v/>
      </c>
      <c r="BA103" s="27" t="str">
        <f>""</f>
        <v/>
      </c>
      <c r="BB103" s="27" t="str">
        <f>""</f>
        <v/>
      </c>
      <c r="BC103" s="27" t="str">
        <f t="shared" ref="BC103:BC134" si="95">"нет"</f>
        <v>нет</v>
      </c>
      <c r="BD103" s="27" t="str">
        <f>""</f>
        <v/>
      </c>
      <c r="BE103" s="27" t="str">
        <f>""</f>
        <v/>
      </c>
      <c r="BF103" s="27" t="str">
        <f>""</f>
        <v/>
      </c>
      <c r="BG103" s="27" t="str">
        <f>""</f>
        <v/>
      </c>
      <c r="BH103" s="27" t="str">
        <f>"65,00"</f>
        <v>65,00</v>
      </c>
      <c r="BI103" s="27" t="str">
        <f>"2024-2026"</f>
        <v>2024-2026</v>
      </c>
      <c r="BJ103" s="27" t="str">
        <f t="shared" si="81"/>
        <v>нет</v>
      </c>
      <c r="BK103" s="27" t="str">
        <f t="shared" si="92"/>
        <v>x</v>
      </c>
      <c r="BL103" s="27" t="str">
        <f>"60,00"</f>
        <v>60,00</v>
      </c>
      <c r="BM103" s="27" t="str">
        <f>"2025-2027"</f>
        <v>2025-2027</v>
      </c>
      <c r="BN103" s="27" t="str">
        <f>""</f>
        <v/>
      </c>
      <c r="BO103" s="27" t="str">
        <f>"60,00"</f>
        <v>60,00</v>
      </c>
      <c r="BP103" s="27" t="str">
        <f>"2029-2031"</f>
        <v>2029-2031</v>
      </c>
      <c r="BQ103" s="27" t="str">
        <f>""</f>
        <v/>
      </c>
      <c r="BR103" s="27" t="str">
        <f>"60,00"</f>
        <v>60,00</v>
      </c>
      <c r="BS103" s="27" t="str">
        <f>"2025-2027"</f>
        <v>2025-2027</v>
      </c>
      <c r="BT103" s="11"/>
      <c r="BU103" s="11"/>
      <c r="BV103" s="11"/>
      <c r="BW103" s="11"/>
      <c r="BX103" s="11"/>
      <c r="BY103" s="11"/>
      <c r="BZ103" s="11"/>
      <c r="CA103" s="11"/>
      <c r="CB103" s="11"/>
      <c r="CC103" s="11"/>
      <c r="CD103" s="11"/>
      <c r="CE103" s="11"/>
      <c r="CF103" s="11"/>
      <c r="CG103" s="11"/>
      <c r="CH103" s="11"/>
      <c r="CI103" s="11"/>
      <c r="CJ103" s="11"/>
      <c r="CK103" s="11"/>
      <c r="CL103" s="11"/>
      <c r="CM103" s="11"/>
      <c r="CN103" s="11"/>
      <c r="CO103" s="11"/>
      <c r="CP103" s="11"/>
      <c r="CQ103" s="11"/>
      <c r="CR103" s="11"/>
      <c r="CS103" s="11"/>
      <c r="CT103" s="11"/>
      <c r="CU103" s="11"/>
      <c r="CV103" s="11"/>
      <c r="CW103" s="11"/>
      <c r="CX103" s="11"/>
      <c r="CY103" s="11"/>
      <c r="CZ103" s="11"/>
      <c r="DA103" s="11"/>
      <c r="DB103" s="11"/>
      <c r="DC103" s="11"/>
      <c r="DD103" s="11"/>
      <c r="DE103" s="11"/>
      <c r="DF103" s="11"/>
      <c r="DG103" s="11"/>
      <c r="DH103" s="11"/>
      <c r="DI103" s="11"/>
      <c r="DJ103" s="11"/>
      <c r="DK103" s="11"/>
      <c r="DL103" s="11"/>
      <c r="DM103" s="11"/>
      <c r="DN103" s="11"/>
      <c r="DO103" s="11"/>
    </row>
    <row r="104" spans="1:119" s="9" customFormat="1" ht="11.25" customHeight="1">
      <c r="A104" s="24" t="str">
        <f>"1.91"</f>
        <v>1.91</v>
      </c>
      <c r="B104" s="25" t="str">
        <f>"г. Кириллов, ул. Пролетарская, д.11"</f>
        <v>г. Кириллов, ул. Пролетарская, д.11</v>
      </c>
      <c r="C104" s="26" t="str">
        <f>"1981"</f>
        <v>1981</v>
      </c>
      <c r="D104" s="27" t="str">
        <f>""</f>
        <v/>
      </c>
      <c r="E104" s="27" t="str">
        <f>"60,00"</f>
        <v>60,00</v>
      </c>
      <c r="F104" s="27" t="str">
        <f>"2021-2023"</f>
        <v>2021-2023</v>
      </c>
      <c r="G104" s="27" t="str">
        <f t="shared" si="85"/>
        <v>да</v>
      </c>
      <c r="H104" s="27" t="str">
        <f>"2011"</f>
        <v>2011</v>
      </c>
      <c r="I104" s="27" t="str">
        <f>"12,00"</f>
        <v>12,00</v>
      </c>
      <c r="J104" s="27" t="str">
        <f>"2027-2029"</f>
        <v>2027-2029</v>
      </c>
      <c r="K104" s="27" t="str">
        <f t="shared" si="75"/>
        <v>нет</v>
      </c>
      <c r="L104" s="27" t="str">
        <f>""</f>
        <v/>
      </c>
      <c r="M104" s="27" t="str">
        <f>""</f>
        <v/>
      </c>
      <c r="N104" s="27" t="str">
        <f>""</f>
        <v/>
      </c>
      <c r="O104" s="28" t="str">
        <f>""</f>
        <v/>
      </c>
      <c r="P104" s="27" t="str">
        <f>"75,00"</f>
        <v>75,00</v>
      </c>
      <c r="Q104" s="27" t="str">
        <f>"2027-2029"</f>
        <v>2027-2029</v>
      </c>
      <c r="R104" s="27" t="str">
        <f t="shared" si="90"/>
        <v>нет</v>
      </c>
      <c r="S104" s="27">
        <v>2015</v>
      </c>
      <c r="T104" s="27" t="str">
        <f>""</f>
        <v/>
      </c>
      <c r="U104" s="27">
        <v>2030</v>
      </c>
      <c r="V104" s="27" t="str">
        <f t="shared" si="76"/>
        <v>нет</v>
      </c>
      <c r="W104" s="27" t="str">
        <f>""</f>
        <v/>
      </c>
      <c r="X104" s="27" t="str">
        <f>""</f>
        <v/>
      </c>
      <c r="Y104" s="29" t="str">
        <f>""</f>
        <v/>
      </c>
      <c r="Z104" s="27" t="str">
        <f t="shared" si="80"/>
        <v>х</v>
      </c>
      <c r="AA104" s="27" t="str">
        <f t="shared" si="86"/>
        <v>х</v>
      </c>
      <c r="AB104" s="27" t="str">
        <f t="shared" si="86"/>
        <v>х</v>
      </c>
      <c r="AC104" s="27" t="str">
        <f t="shared" si="72"/>
        <v>нет</v>
      </c>
      <c r="AD104" s="27" t="str">
        <f t="shared" si="87"/>
        <v>х</v>
      </c>
      <c r="AE104" s="27" t="str">
        <f t="shared" si="87"/>
        <v>х</v>
      </c>
      <c r="AF104" s="27" t="str">
        <f t="shared" si="87"/>
        <v>х</v>
      </c>
      <c r="AG104" s="27" t="str">
        <f t="shared" si="73"/>
        <v>нет</v>
      </c>
      <c r="AH104" s="27" t="str">
        <f t="shared" si="88"/>
        <v>х</v>
      </c>
      <c r="AI104" s="27" t="str">
        <f t="shared" si="88"/>
        <v>х</v>
      </c>
      <c r="AJ104" s="27" t="str">
        <f t="shared" si="88"/>
        <v>х</v>
      </c>
      <c r="AK104" s="28" t="str">
        <f>""</f>
        <v/>
      </c>
      <c r="AL104" s="27" t="str">
        <f>"60,00"</f>
        <v>60,00</v>
      </c>
      <c r="AM104" s="27" t="str">
        <f>"2025-2027"</f>
        <v>2025-2027</v>
      </c>
      <c r="AN104" s="30" t="str">
        <f t="shared" si="89"/>
        <v>нет</v>
      </c>
      <c r="AO104" s="27" t="str">
        <f>""</f>
        <v/>
      </c>
      <c r="AP104" s="27" t="str">
        <f>""</f>
        <v/>
      </c>
      <c r="AQ104" s="27" t="str">
        <f>""</f>
        <v/>
      </c>
      <c r="AR104" s="27" t="str">
        <f t="shared" si="93"/>
        <v>нет</v>
      </c>
      <c r="AS104" s="27" t="str">
        <f>""</f>
        <v/>
      </c>
      <c r="AT104" s="27" t="str">
        <f>""</f>
        <v/>
      </c>
      <c r="AU104" s="27" t="str">
        <f>""</f>
        <v/>
      </c>
      <c r="AV104" s="27" t="str">
        <f>""</f>
        <v/>
      </c>
      <c r="AW104" s="27" t="str">
        <f>"64,00"</f>
        <v>64,00</v>
      </c>
      <c r="AX104" s="27" t="str">
        <f>"2032-2034"</f>
        <v>2032-2034</v>
      </c>
      <c r="AY104" s="27" t="str">
        <f t="shared" si="94"/>
        <v>нет</v>
      </c>
      <c r="AZ104" s="27" t="str">
        <f>""</f>
        <v/>
      </c>
      <c r="BA104" s="27" t="str">
        <f>""</f>
        <v/>
      </c>
      <c r="BB104" s="27" t="str">
        <f>""</f>
        <v/>
      </c>
      <c r="BC104" s="27" t="str">
        <f t="shared" si="95"/>
        <v>нет</v>
      </c>
      <c r="BD104" s="27" t="str">
        <f>""</f>
        <v/>
      </c>
      <c r="BE104" s="27" t="str">
        <f>""</f>
        <v/>
      </c>
      <c r="BF104" s="27" t="str">
        <f>""</f>
        <v/>
      </c>
      <c r="BG104" s="27" t="str">
        <f>""</f>
        <v/>
      </c>
      <c r="BH104" s="27" t="str">
        <f>"65,00"</f>
        <v>65,00</v>
      </c>
      <c r="BI104" s="27" t="str">
        <f>"2042-2044"</f>
        <v>2042-2044</v>
      </c>
      <c r="BJ104" s="27" t="str">
        <f t="shared" si="81"/>
        <v>нет</v>
      </c>
      <c r="BK104" s="27" t="str">
        <f t="shared" si="92"/>
        <v>x</v>
      </c>
      <c r="BL104" s="27" t="str">
        <f>"60,00"</f>
        <v>60,00</v>
      </c>
      <c r="BM104" s="27" t="str">
        <f>"2017-2019"</f>
        <v>2017-2019</v>
      </c>
      <c r="BN104" s="27" t="str">
        <f>""</f>
        <v/>
      </c>
      <c r="BO104" s="27" t="str">
        <f>"60,00"</f>
        <v>60,00</v>
      </c>
      <c r="BP104" s="27" t="str">
        <f>"2029-2031"</f>
        <v>2029-2031</v>
      </c>
      <c r="BQ104" s="27" t="str">
        <f>""</f>
        <v/>
      </c>
      <c r="BR104" s="27" t="str">
        <f>"60,00"</f>
        <v>60,00</v>
      </c>
      <c r="BS104" s="27" t="str">
        <f>"2017-2019"</f>
        <v>2017-2019</v>
      </c>
      <c r="BT104" s="11"/>
      <c r="BU104" s="11"/>
      <c r="BV104" s="11"/>
      <c r="BW104" s="11"/>
      <c r="BX104" s="11"/>
      <c r="BY104" s="11"/>
      <c r="BZ104" s="11"/>
      <c r="CA104" s="11"/>
      <c r="CB104" s="11"/>
      <c r="CC104" s="11"/>
      <c r="CD104" s="11"/>
      <c r="CE104" s="11"/>
      <c r="CF104" s="11"/>
      <c r="CG104" s="11"/>
      <c r="CH104" s="11"/>
      <c r="CI104" s="11"/>
      <c r="CJ104" s="11"/>
      <c r="CK104" s="11"/>
      <c r="CL104" s="11"/>
      <c r="CM104" s="11"/>
      <c r="CN104" s="11"/>
      <c r="CO104" s="11"/>
      <c r="CP104" s="11"/>
      <c r="CQ104" s="11"/>
      <c r="CR104" s="11"/>
      <c r="CS104" s="11"/>
      <c r="CT104" s="11"/>
      <c r="CU104" s="11"/>
      <c r="CV104" s="11"/>
      <c r="CW104" s="11"/>
      <c r="CX104" s="11"/>
      <c r="CY104" s="11"/>
      <c r="CZ104" s="11"/>
      <c r="DA104" s="11"/>
      <c r="DB104" s="11"/>
      <c r="DC104" s="11"/>
      <c r="DD104" s="11"/>
      <c r="DE104" s="11"/>
      <c r="DF104" s="11"/>
      <c r="DG104" s="11"/>
      <c r="DH104" s="11"/>
      <c r="DI104" s="11"/>
      <c r="DJ104" s="11"/>
      <c r="DK104" s="11"/>
      <c r="DL104" s="11"/>
      <c r="DM104" s="11"/>
      <c r="DN104" s="11"/>
      <c r="DO104" s="11"/>
    </row>
    <row r="105" spans="1:119" s="10" customFormat="1" ht="11.25" customHeight="1">
      <c r="A105" s="24" t="str">
        <f>"1.92"</f>
        <v>1.92</v>
      </c>
      <c r="B105" s="25" t="str">
        <f>"г. Кириллов, ул. Пролетарская, д.12"</f>
        <v>г. Кириллов, ул. Пролетарская, д.12</v>
      </c>
      <c r="C105" s="26" t="str">
        <f>"1917"</f>
        <v>1917</v>
      </c>
      <c r="D105" s="27" t="str">
        <f>"2009"</f>
        <v>2009</v>
      </c>
      <c r="E105" s="27" t="str">
        <f>"20,00"</f>
        <v>20,00</v>
      </c>
      <c r="F105" s="27" t="str">
        <f>"2030-2032"</f>
        <v>2030-2032</v>
      </c>
      <c r="G105" s="27" t="str">
        <f t="shared" si="85"/>
        <v>да</v>
      </c>
      <c r="H105" s="27" t="str">
        <f>"2009"</f>
        <v>2009</v>
      </c>
      <c r="I105" s="27" t="str">
        <f>"25,00"</f>
        <v>25,00</v>
      </c>
      <c r="J105" s="27" t="str">
        <f>"2025-2027"</f>
        <v>2025-2027</v>
      </c>
      <c r="K105" s="27" t="str">
        <f t="shared" si="75"/>
        <v>нет</v>
      </c>
      <c r="L105" s="27" t="str">
        <f>""</f>
        <v/>
      </c>
      <c r="M105" s="27" t="str">
        <f>""</f>
        <v/>
      </c>
      <c r="N105" s="27" t="str">
        <f>""</f>
        <v/>
      </c>
      <c r="O105" s="28" t="str">
        <f>"2009"</f>
        <v>2009</v>
      </c>
      <c r="P105" s="27" t="str">
        <f>"16,00"</f>
        <v>16,00</v>
      </c>
      <c r="Q105" s="27" t="str">
        <f>"2034-2036"</f>
        <v>2034-2036</v>
      </c>
      <c r="R105" s="27" t="str">
        <f t="shared" si="90"/>
        <v>нет</v>
      </c>
      <c r="S105" s="27" t="str">
        <f>""</f>
        <v/>
      </c>
      <c r="T105" s="27" t="str">
        <f>""</f>
        <v/>
      </c>
      <c r="U105" s="27" t="str">
        <f>""</f>
        <v/>
      </c>
      <c r="V105" s="27" t="str">
        <f t="shared" si="76"/>
        <v>нет</v>
      </c>
      <c r="W105" s="27" t="str">
        <f>""</f>
        <v/>
      </c>
      <c r="X105" s="27" t="str">
        <f>""</f>
        <v/>
      </c>
      <c r="Y105" s="29" t="str">
        <f>""</f>
        <v/>
      </c>
      <c r="Z105" s="27" t="str">
        <f t="shared" si="80"/>
        <v>х</v>
      </c>
      <c r="AA105" s="27" t="str">
        <f t="shared" si="86"/>
        <v>х</v>
      </c>
      <c r="AB105" s="27" t="str">
        <f t="shared" si="86"/>
        <v>х</v>
      </c>
      <c r="AC105" s="27" t="str">
        <f t="shared" ref="AC105:AC136" si="96">"нет"</f>
        <v>нет</v>
      </c>
      <c r="AD105" s="27" t="str">
        <f t="shared" si="87"/>
        <v>х</v>
      </c>
      <c r="AE105" s="27" t="str">
        <f t="shared" si="87"/>
        <v>х</v>
      </c>
      <c r="AF105" s="27" t="str">
        <f t="shared" si="87"/>
        <v>х</v>
      </c>
      <c r="AG105" s="27" t="str">
        <f t="shared" ref="AG105:AG136" si="97">"нет"</f>
        <v>нет</v>
      </c>
      <c r="AH105" s="27" t="str">
        <f t="shared" si="88"/>
        <v>х</v>
      </c>
      <c r="AI105" s="27" t="str">
        <f t="shared" si="88"/>
        <v>х</v>
      </c>
      <c r="AJ105" s="27" t="str">
        <f t="shared" si="88"/>
        <v>х</v>
      </c>
      <c r="AK105" s="28" t="str">
        <f>"2009"</f>
        <v>2009</v>
      </c>
      <c r="AL105" s="27" t="str">
        <f>"13,00"</f>
        <v>13,00</v>
      </c>
      <c r="AM105" s="27" t="str">
        <f>"2039-2041"</f>
        <v>2039-2041</v>
      </c>
      <c r="AN105" s="30" t="str">
        <f>"да"</f>
        <v>да</v>
      </c>
      <c r="AO105" s="27" t="str">
        <f>"2009"</f>
        <v>2009</v>
      </c>
      <c r="AP105" s="27" t="str">
        <f>"60,00"</f>
        <v>60,00</v>
      </c>
      <c r="AQ105" s="27" t="str">
        <f>"2015-2017"</f>
        <v>2015-2017</v>
      </c>
      <c r="AR105" s="27" t="str">
        <f t="shared" si="93"/>
        <v>нет</v>
      </c>
      <c r="AS105" s="27" t="str">
        <f>""</f>
        <v/>
      </c>
      <c r="AT105" s="27" t="str">
        <f>""</f>
        <v/>
      </c>
      <c r="AU105" s="27" t="str">
        <f>""</f>
        <v/>
      </c>
      <c r="AV105" s="27" t="str">
        <f>""</f>
        <v/>
      </c>
      <c r="AW105" s="27" t="str">
        <f>"70,00"</f>
        <v>70,00</v>
      </c>
      <c r="AX105" s="27" t="str">
        <f>"2020-2022"</f>
        <v>2020-2022</v>
      </c>
      <c r="AY105" s="27" t="str">
        <f t="shared" si="94"/>
        <v>нет</v>
      </c>
      <c r="AZ105" s="27" t="str">
        <f>""</f>
        <v/>
      </c>
      <c r="BA105" s="27" t="str">
        <f>""</f>
        <v/>
      </c>
      <c r="BB105" s="27" t="str">
        <f>""</f>
        <v/>
      </c>
      <c r="BC105" s="27" t="str">
        <f t="shared" si="95"/>
        <v>нет</v>
      </c>
      <c r="BD105" s="27" t="str">
        <f>""</f>
        <v/>
      </c>
      <c r="BE105" s="27" t="str">
        <f>""</f>
        <v/>
      </c>
      <c r="BF105" s="27" t="str">
        <f>""</f>
        <v/>
      </c>
      <c r="BG105" s="27" t="str">
        <f>"2009"</f>
        <v>2009</v>
      </c>
      <c r="BH105" s="27" t="str">
        <f>"26,00"</f>
        <v>26,00</v>
      </c>
      <c r="BI105" s="27" t="str">
        <f>"2029-2031"</f>
        <v>2029-2031</v>
      </c>
      <c r="BJ105" s="27" t="str">
        <f t="shared" si="81"/>
        <v>нет</v>
      </c>
      <c r="BK105" s="27" t="str">
        <f t="shared" si="92"/>
        <v>x</v>
      </c>
      <c r="BL105" s="27" t="str">
        <f>"65,00"</f>
        <v>65,00</v>
      </c>
      <c r="BM105" s="27" t="str">
        <f>"2025-2027"</f>
        <v>2025-2027</v>
      </c>
      <c r="BN105" s="27" t="str">
        <f>"2009"</f>
        <v>2009</v>
      </c>
      <c r="BO105" s="27" t="str">
        <f>"10,00"</f>
        <v>10,00</v>
      </c>
      <c r="BP105" s="27" t="str">
        <f>"2039-2041"</f>
        <v>2039-2041</v>
      </c>
      <c r="BQ105" s="27" t="str">
        <f>""</f>
        <v/>
      </c>
      <c r="BR105" s="27" t="str">
        <f>"65,00"</f>
        <v>65,00</v>
      </c>
      <c r="BS105" s="27" t="str">
        <f>"2025-2027"</f>
        <v>2025-2027</v>
      </c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1"/>
      <c r="CE105" s="11"/>
      <c r="CF105" s="11"/>
      <c r="CG105" s="11"/>
      <c r="CH105" s="11"/>
      <c r="CI105" s="11"/>
      <c r="CJ105" s="11"/>
      <c r="CK105" s="11"/>
      <c r="CL105" s="11"/>
      <c r="CM105" s="11"/>
      <c r="CN105" s="11"/>
      <c r="CO105" s="11"/>
      <c r="CP105" s="11"/>
      <c r="CQ105" s="11"/>
      <c r="CR105" s="11"/>
      <c r="CS105" s="11"/>
      <c r="CT105" s="11"/>
      <c r="CU105" s="11"/>
      <c r="CV105" s="11"/>
      <c r="CW105" s="11"/>
      <c r="CX105" s="11"/>
      <c r="CY105" s="11"/>
      <c r="CZ105" s="11"/>
      <c r="DA105" s="11"/>
      <c r="DB105" s="11"/>
      <c r="DC105" s="11"/>
      <c r="DD105" s="11"/>
      <c r="DE105" s="11"/>
      <c r="DF105" s="11"/>
      <c r="DG105" s="11"/>
      <c r="DH105" s="11"/>
      <c r="DI105" s="11"/>
      <c r="DJ105" s="11"/>
      <c r="DK105" s="11"/>
      <c r="DL105" s="11"/>
      <c r="DM105" s="11"/>
      <c r="DN105" s="11"/>
      <c r="DO105" s="11"/>
    </row>
    <row r="106" spans="1:119" s="9" customFormat="1" ht="11.25" customHeight="1">
      <c r="A106" s="24" t="str">
        <f>"1.93"</f>
        <v>1.93</v>
      </c>
      <c r="B106" s="25" t="str">
        <f>"г. Кириллов, ул. Пролетарская, д.13"</f>
        <v>г. Кириллов, ул. Пролетарская, д.13</v>
      </c>
      <c r="C106" s="26" t="str">
        <f>"1986"</f>
        <v>1986</v>
      </c>
      <c r="D106" s="27" t="str">
        <f>""</f>
        <v/>
      </c>
      <c r="E106" s="27" t="str">
        <f>"60,00"</f>
        <v>60,00</v>
      </c>
      <c r="F106" s="27" t="str">
        <f>"2025-2027"</f>
        <v>2025-2027</v>
      </c>
      <c r="G106" s="27" t="str">
        <f t="shared" si="85"/>
        <v>да</v>
      </c>
      <c r="H106" s="27" t="str">
        <f>"2009"</f>
        <v>2009</v>
      </c>
      <c r="I106" s="27" t="str">
        <f>"25,00"</f>
        <v>25,00</v>
      </c>
      <c r="J106" s="27" t="str">
        <f>"2025-2027"</f>
        <v>2025-2027</v>
      </c>
      <c r="K106" s="27" t="str">
        <f t="shared" si="75"/>
        <v>нет</v>
      </c>
      <c r="L106" s="27" t="str">
        <f>""</f>
        <v/>
      </c>
      <c r="M106" s="27" t="str">
        <f>""</f>
        <v/>
      </c>
      <c r="N106" s="27" t="str">
        <f>""</f>
        <v/>
      </c>
      <c r="O106" s="28" t="str">
        <f>""</f>
        <v/>
      </c>
      <c r="P106" s="27" t="str">
        <f>"65,00"</f>
        <v>65,00</v>
      </c>
      <c r="Q106" s="27" t="str">
        <f>"2019-2021"</f>
        <v>2019-2021</v>
      </c>
      <c r="R106" s="27" t="str">
        <f>"да"</f>
        <v>да</v>
      </c>
      <c r="S106" s="27" t="str">
        <f>"2013"</f>
        <v>2013</v>
      </c>
      <c r="T106" s="27" t="str">
        <f>"1,00"</f>
        <v>1,00</v>
      </c>
      <c r="U106" s="27" t="str">
        <f>"2029-2031"</f>
        <v>2029-2031</v>
      </c>
      <c r="V106" s="27" t="str">
        <f t="shared" si="76"/>
        <v>нет</v>
      </c>
      <c r="W106" s="27" t="str">
        <f>""</f>
        <v/>
      </c>
      <c r="X106" s="27" t="str">
        <f>""</f>
        <v/>
      </c>
      <c r="Y106" s="29" t="str">
        <f>""</f>
        <v/>
      </c>
      <c r="Z106" s="27" t="str">
        <f t="shared" si="80"/>
        <v>х</v>
      </c>
      <c r="AA106" s="27" t="str">
        <f t="shared" si="86"/>
        <v>х</v>
      </c>
      <c r="AB106" s="27" t="str">
        <f t="shared" si="86"/>
        <v>х</v>
      </c>
      <c r="AC106" s="27" t="str">
        <f t="shared" si="96"/>
        <v>нет</v>
      </c>
      <c r="AD106" s="27" t="str">
        <f t="shared" si="87"/>
        <v>х</v>
      </c>
      <c r="AE106" s="27" t="str">
        <f t="shared" si="87"/>
        <v>х</v>
      </c>
      <c r="AF106" s="27" t="str">
        <f t="shared" si="87"/>
        <v>х</v>
      </c>
      <c r="AG106" s="27" t="str">
        <f t="shared" si="97"/>
        <v>нет</v>
      </c>
      <c r="AH106" s="27" t="str">
        <f t="shared" si="88"/>
        <v>х</v>
      </c>
      <c r="AI106" s="27" t="str">
        <f t="shared" si="88"/>
        <v>х</v>
      </c>
      <c r="AJ106" s="27" t="str">
        <f t="shared" si="88"/>
        <v>х</v>
      </c>
      <c r="AK106" s="28" t="str">
        <f>""</f>
        <v/>
      </c>
      <c r="AL106" s="27" t="str">
        <f>"75,00"</f>
        <v>75,00</v>
      </c>
      <c r="AM106" s="27" t="str">
        <f>"2030-2032"</f>
        <v>2030-2032</v>
      </c>
      <c r="AN106" s="30" t="str">
        <f>"да"</f>
        <v>да</v>
      </c>
      <c r="AO106" s="27" t="str">
        <f>"2013"</f>
        <v>2013</v>
      </c>
      <c r="AP106" s="27" t="str">
        <f>"1,00"</f>
        <v>1,00</v>
      </c>
      <c r="AQ106" s="27" t="str">
        <f>"2019-2021"</f>
        <v>2019-2021</v>
      </c>
      <c r="AR106" s="27" t="str">
        <f t="shared" si="93"/>
        <v>нет</v>
      </c>
      <c r="AS106" s="27" t="str">
        <f>""</f>
        <v/>
      </c>
      <c r="AT106" s="27" t="str">
        <f>""</f>
        <v/>
      </c>
      <c r="AU106" s="27" t="str">
        <f>""</f>
        <v/>
      </c>
      <c r="AV106" s="27" t="str">
        <f>""</f>
        <v/>
      </c>
      <c r="AW106" s="27" t="str">
        <f>"54,00"</f>
        <v>54,00</v>
      </c>
      <c r="AX106" s="27" t="str">
        <f>"2035-2037"</f>
        <v>2035-2037</v>
      </c>
      <c r="AY106" s="27" t="str">
        <f t="shared" si="94"/>
        <v>нет</v>
      </c>
      <c r="AZ106" s="27" t="str">
        <f>""</f>
        <v/>
      </c>
      <c r="BA106" s="27" t="str">
        <f>""</f>
        <v/>
      </c>
      <c r="BB106" s="27" t="str">
        <f>""</f>
        <v/>
      </c>
      <c r="BC106" s="27" t="str">
        <f t="shared" si="95"/>
        <v>нет</v>
      </c>
      <c r="BD106" s="27" t="str">
        <f>""</f>
        <v/>
      </c>
      <c r="BE106" s="27" t="str">
        <f>""</f>
        <v/>
      </c>
      <c r="BF106" s="27" t="str">
        <f>""</f>
        <v/>
      </c>
      <c r="BG106" s="27" t="str">
        <f>""</f>
        <v/>
      </c>
      <c r="BH106" s="27" t="str">
        <f>"65,00"</f>
        <v>65,00</v>
      </c>
      <c r="BI106" s="27" t="str">
        <f>"2026-2028"</f>
        <v>2026-2028</v>
      </c>
      <c r="BJ106" s="27" t="str">
        <f t="shared" si="81"/>
        <v>нет</v>
      </c>
      <c r="BK106" s="27" t="str">
        <f t="shared" si="92"/>
        <v>x</v>
      </c>
      <c r="BL106" s="27" t="str">
        <f>"54,00"</f>
        <v>54,00</v>
      </c>
      <c r="BM106" s="27" t="str">
        <f>"2029-2031"</f>
        <v>2029-2031</v>
      </c>
      <c r="BN106" s="27" t="str">
        <f>""</f>
        <v/>
      </c>
      <c r="BO106" s="27" t="str">
        <f>"60,00"</f>
        <v>60,00</v>
      </c>
      <c r="BP106" s="27" t="str">
        <f>"2022-2024"</f>
        <v>2022-2024</v>
      </c>
      <c r="BQ106" s="27" t="str">
        <f>""</f>
        <v/>
      </c>
      <c r="BR106" s="27" t="str">
        <f>"54,00"</f>
        <v>54,00</v>
      </c>
      <c r="BS106" s="27" t="str">
        <f>"2029-2031"</f>
        <v>2029-2031</v>
      </c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/>
      <c r="CO106" s="11"/>
      <c r="CP106" s="11"/>
      <c r="CQ106" s="11"/>
      <c r="CR106" s="11"/>
      <c r="CS106" s="11"/>
      <c r="CT106" s="11"/>
      <c r="CU106" s="11"/>
      <c r="CV106" s="11"/>
      <c r="CW106" s="11"/>
      <c r="CX106" s="11"/>
      <c r="CY106" s="11"/>
      <c r="CZ106" s="11"/>
      <c r="DA106" s="11"/>
      <c r="DB106" s="11"/>
      <c r="DC106" s="11"/>
      <c r="DD106" s="11"/>
      <c r="DE106" s="11"/>
      <c r="DF106" s="11"/>
      <c r="DG106" s="11"/>
      <c r="DH106" s="11"/>
      <c r="DI106" s="11"/>
      <c r="DJ106" s="11"/>
      <c r="DK106" s="11"/>
      <c r="DL106" s="11"/>
      <c r="DM106" s="11"/>
      <c r="DN106" s="11"/>
      <c r="DO106" s="11"/>
    </row>
    <row r="107" spans="1:119" s="10" customFormat="1" ht="11.25" customHeight="1">
      <c r="A107" s="24" t="str">
        <f>"1.94"</f>
        <v>1.94</v>
      </c>
      <c r="B107" s="25" t="str">
        <f>"г. Кириллов, ул. Пролетарская, д.14"</f>
        <v>г. Кириллов, ул. Пролетарская, д.14</v>
      </c>
      <c r="C107" s="26" t="str">
        <f>"1963"</f>
        <v>1963</v>
      </c>
      <c r="D107" s="27" t="str">
        <f>"1988"</f>
        <v>1988</v>
      </c>
      <c r="E107" s="27" t="str">
        <f>"85,00"</f>
        <v>85,00</v>
      </c>
      <c r="F107" s="27" t="str">
        <f>"2021-2023"</f>
        <v>2021-2023</v>
      </c>
      <c r="G107" s="27" t="str">
        <f t="shared" si="85"/>
        <v>да</v>
      </c>
      <c r="H107" s="27" t="str">
        <f>"2011"</f>
        <v>2011</v>
      </c>
      <c r="I107" s="27" t="str">
        <f>"13,00"</f>
        <v>13,00</v>
      </c>
      <c r="J107" s="27" t="str">
        <f>"2027-2029"</f>
        <v>2027-2029</v>
      </c>
      <c r="K107" s="27" t="str">
        <f t="shared" si="75"/>
        <v>нет</v>
      </c>
      <c r="L107" s="27" t="str">
        <f>""</f>
        <v/>
      </c>
      <c r="M107" s="27" t="str">
        <f>""</f>
        <v/>
      </c>
      <c r="N107" s="27" t="str">
        <f>""</f>
        <v/>
      </c>
      <c r="O107" s="28" t="str">
        <f>"1980"</f>
        <v>1980</v>
      </c>
      <c r="P107" s="27" t="str">
        <f>"83,00"</f>
        <v>83,00</v>
      </c>
      <c r="Q107" s="27" t="str">
        <f>"2022-2024"</f>
        <v>2022-2024</v>
      </c>
      <c r="R107" s="27" t="str">
        <f>"нет"</f>
        <v>нет</v>
      </c>
      <c r="S107" s="27" t="str">
        <f>""</f>
        <v/>
      </c>
      <c r="T107" s="27" t="str">
        <f>""</f>
        <v/>
      </c>
      <c r="U107" s="27" t="str">
        <f>""</f>
        <v/>
      </c>
      <c r="V107" s="27" t="str">
        <f t="shared" si="76"/>
        <v>нет</v>
      </c>
      <c r="W107" s="27" t="str">
        <f>""</f>
        <v/>
      </c>
      <c r="X107" s="27" t="str">
        <f>""</f>
        <v/>
      </c>
      <c r="Y107" s="29" t="str">
        <f>""</f>
        <v/>
      </c>
      <c r="Z107" s="27" t="str">
        <f t="shared" si="80"/>
        <v>х</v>
      </c>
      <c r="AA107" s="27" t="str">
        <f t="shared" si="86"/>
        <v>х</v>
      </c>
      <c r="AB107" s="27" t="str">
        <f t="shared" si="86"/>
        <v>х</v>
      </c>
      <c r="AC107" s="27" t="str">
        <f t="shared" si="96"/>
        <v>нет</v>
      </c>
      <c r="AD107" s="27" t="str">
        <f t="shared" si="87"/>
        <v>х</v>
      </c>
      <c r="AE107" s="27" t="str">
        <f t="shared" si="87"/>
        <v>х</v>
      </c>
      <c r="AF107" s="27" t="str">
        <f t="shared" si="87"/>
        <v>х</v>
      </c>
      <c r="AG107" s="27" t="str">
        <f t="shared" si="97"/>
        <v>нет</v>
      </c>
      <c r="AH107" s="27" t="str">
        <f t="shared" si="88"/>
        <v>х</v>
      </c>
      <c r="AI107" s="27" t="str">
        <f t="shared" si="88"/>
        <v>х</v>
      </c>
      <c r="AJ107" s="27" t="str">
        <f t="shared" si="88"/>
        <v>х</v>
      </c>
      <c r="AK107" s="28" t="str">
        <f>"2004"</f>
        <v>2004</v>
      </c>
      <c r="AL107" s="27" t="str">
        <f>"30,00"</f>
        <v>30,00</v>
      </c>
      <c r="AM107" s="27" t="str">
        <f>"2035-2037"</f>
        <v>2035-2037</v>
      </c>
      <c r="AN107" s="30" t="str">
        <f>"нет"</f>
        <v>нет</v>
      </c>
      <c r="AO107" s="27" t="str">
        <f>""</f>
        <v/>
      </c>
      <c r="AP107" s="27" t="str">
        <f>""</f>
        <v/>
      </c>
      <c r="AQ107" s="27" t="str">
        <f>""</f>
        <v/>
      </c>
      <c r="AR107" s="27" t="str">
        <f t="shared" si="93"/>
        <v>нет</v>
      </c>
      <c r="AS107" s="27" t="str">
        <f>""</f>
        <v/>
      </c>
      <c r="AT107" s="27" t="str">
        <f>""</f>
        <v/>
      </c>
      <c r="AU107" s="27" t="str">
        <f>""</f>
        <v/>
      </c>
      <c r="AV107" s="27" t="str">
        <f>"2004"</f>
        <v>2004</v>
      </c>
      <c r="AW107" s="27" t="str">
        <f>"18,00"</f>
        <v>18,00</v>
      </c>
      <c r="AX107" s="27" t="str">
        <f>"2044-2046"</f>
        <v>2044-2046</v>
      </c>
      <c r="AY107" s="27" t="str">
        <f t="shared" si="94"/>
        <v>нет</v>
      </c>
      <c r="AZ107" s="27" t="str">
        <f>""</f>
        <v/>
      </c>
      <c r="BA107" s="27" t="str">
        <f>""</f>
        <v/>
      </c>
      <c r="BB107" s="27" t="str">
        <f>""</f>
        <v/>
      </c>
      <c r="BC107" s="27" t="str">
        <f t="shared" si="95"/>
        <v>нет</v>
      </c>
      <c r="BD107" s="27" t="str">
        <f>""</f>
        <v/>
      </c>
      <c r="BE107" s="27" t="str">
        <f>""</f>
        <v/>
      </c>
      <c r="BF107" s="27" t="str">
        <f>""</f>
        <v/>
      </c>
      <c r="BG107" s="27" t="str">
        <f>"2006"</f>
        <v>2006</v>
      </c>
      <c r="BH107" s="27" t="str">
        <f>"46,00"</f>
        <v>46,00</v>
      </c>
      <c r="BI107" s="27" t="str">
        <f>"2042-2044"</f>
        <v>2042-2044</v>
      </c>
      <c r="BJ107" s="27" t="str">
        <f t="shared" si="81"/>
        <v>нет</v>
      </c>
      <c r="BK107" s="27" t="str">
        <f t="shared" si="92"/>
        <v>x</v>
      </c>
      <c r="BL107" s="27" t="str">
        <f>"60,00"</f>
        <v>60,00</v>
      </c>
      <c r="BM107" s="27" t="str">
        <f>"2023-2025"</f>
        <v>2023-2025</v>
      </c>
      <c r="BN107" s="27" t="str">
        <f>""</f>
        <v/>
      </c>
      <c r="BO107" s="27" t="str">
        <f>"60,00"</f>
        <v>60,00</v>
      </c>
      <c r="BP107" s="27" t="str">
        <f>"2038-2040"</f>
        <v>2038-2040</v>
      </c>
      <c r="BQ107" s="27" t="str">
        <f>""</f>
        <v/>
      </c>
      <c r="BR107" s="27" t="str">
        <f>"60,00"</f>
        <v>60,00</v>
      </c>
      <c r="BS107" s="27" t="str">
        <f>"2023-2025"</f>
        <v>2023-2025</v>
      </c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/>
      <c r="CO107" s="11"/>
      <c r="CP107" s="11"/>
      <c r="CQ107" s="11"/>
      <c r="CR107" s="11"/>
      <c r="CS107" s="11"/>
      <c r="CT107" s="11"/>
      <c r="CU107" s="11"/>
      <c r="CV107" s="11"/>
      <c r="CW107" s="11"/>
      <c r="CX107" s="11"/>
      <c r="CY107" s="11"/>
      <c r="CZ107" s="11"/>
      <c r="DA107" s="11"/>
      <c r="DB107" s="11"/>
      <c r="DC107" s="11"/>
      <c r="DD107" s="11"/>
      <c r="DE107" s="11"/>
      <c r="DF107" s="11"/>
      <c r="DG107" s="11"/>
      <c r="DH107" s="11"/>
      <c r="DI107" s="11"/>
      <c r="DJ107" s="11"/>
      <c r="DK107" s="11"/>
      <c r="DL107" s="11"/>
      <c r="DM107" s="11"/>
      <c r="DN107" s="11"/>
      <c r="DO107" s="11"/>
    </row>
    <row r="108" spans="1:119" s="9" customFormat="1" ht="11.25" customHeight="1">
      <c r="A108" s="24" t="str">
        <f>"1.95"</f>
        <v>1.95</v>
      </c>
      <c r="B108" s="25" t="str">
        <f>"г. Кириллов, ул. Пролетарская, д.15А"</f>
        <v>г. Кириллов, ул. Пролетарская, д.15А</v>
      </c>
      <c r="C108" s="26" t="str">
        <f>"1965"</f>
        <v>1965</v>
      </c>
      <c r="D108" s="27" t="str">
        <f>"1988"</f>
        <v>1988</v>
      </c>
      <c r="E108" s="27" t="str">
        <f>"80,00"</f>
        <v>80,00</v>
      </c>
      <c r="F108" s="27" t="str">
        <f>"2021-2023"</f>
        <v>2021-2023</v>
      </c>
      <c r="G108" s="27" t="str">
        <f t="shared" si="85"/>
        <v>да</v>
      </c>
      <c r="H108" s="27" t="str">
        <f>"2011"</f>
        <v>2011</v>
      </c>
      <c r="I108" s="27" t="str">
        <f>"13,00"</f>
        <v>13,00</v>
      </c>
      <c r="J108" s="27" t="str">
        <f>"2027-2029"</f>
        <v>2027-2029</v>
      </c>
      <c r="K108" s="27" t="str">
        <f t="shared" ref="K108:K139" si="98">"нет"</f>
        <v>нет</v>
      </c>
      <c r="L108" s="27" t="str">
        <f>""</f>
        <v/>
      </c>
      <c r="M108" s="27" t="str">
        <f>""</f>
        <v/>
      </c>
      <c r="N108" s="27" t="str">
        <f>""</f>
        <v/>
      </c>
      <c r="O108" s="28" t="str">
        <f>""</f>
        <v/>
      </c>
      <c r="P108" s="27" t="str">
        <f>""</f>
        <v/>
      </c>
      <c r="Q108" s="27" t="str">
        <f>""</f>
        <v/>
      </c>
      <c r="R108" s="27" t="str">
        <f>"нет"</f>
        <v>нет</v>
      </c>
      <c r="S108" s="27" t="str">
        <f>""</f>
        <v/>
      </c>
      <c r="T108" s="27" t="str">
        <f>""</f>
        <v/>
      </c>
      <c r="U108" s="27" t="str">
        <f>""</f>
        <v/>
      </c>
      <c r="V108" s="27" t="str">
        <f t="shared" ref="V108:V139" si="99">"нет"</f>
        <v>нет</v>
      </c>
      <c r="W108" s="27" t="str">
        <f>""</f>
        <v/>
      </c>
      <c r="X108" s="27" t="str">
        <f>""</f>
        <v/>
      </c>
      <c r="Y108" s="29" t="str">
        <f>""</f>
        <v/>
      </c>
      <c r="Z108" s="27" t="str">
        <f t="shared" si="80"/>
        <v>х</v>
      </c>
      <c r="AA108" s="27" t="str">
        <f t="shared" si="86"/>
        <v>х</v>
      </c>
      <c r="AB108" s="27" t="str">
        <f t="shared" si="86"/>
        <v>х</v>
      </c>
      <c r="AC108" s="27" t="str">
        <f t="shared" si="96"/>
        <v>нет</v>
      </c>
      <c r="AD108" s="27" t="str">
        <f t="shared" si="87"/>
        <v>х</v>
      </c>
      <c r="AE108" s="27" t="str">
        <f t="shared" si="87"/>
        <v>х</v>
      </c>
      <c r="AF108" s="27" t="str">
        <f t="shared" si="87"/>
        <v>х</v>
      </c>
      <c r="AG108" s="27" t="str">
        <f t="shared" si="97"/>
        <v>нет</v>
      </c>
      <c r="AH108" s="27" t="str">
        <f t="shared" si="88"/>
        <v>х</v>
      </c>
      <c r="AI108" s="27" t="str">
        <f t="shared" si="88"/>
        <v>х</v>
      </c>
      <c r="AJ108" s="27" t="str">
        <f t="shared" si="88"/>
        <v>х</v>
      </c>
      <c r="AK108" s="28" t="str">
        <f>"2004"</f>
        <v>2004</v>
      </c>
      <c r="AL108" s="27" t="str">
        <f>"30,00"</f>
        <v>30,00</v>
      </c>
      <c r="AM108" s="27" t="str">
        <f>"2035-2037"</f>
        <v>2035-2037</v>
      </c>
      <c r="AN108" s="30" t="str">
        <f>"нет"</f>
        <v>нет</v>
      </c>
      <c r="AO108" s="27" t="str">
        <f>""</f>
        <v/>
      </c>
      <c r="AP108" s="27" t="str">
        <f>""</f>
        <v/>
      </c>
      <c r="AQ108" s="27" t="str">
        <f>""</f>
        <v/>
      </c>
      <c r="AR108" s="27" t="str">
        <f t="shared" si="93"/>
        <v>нет</v>
      </c>
      <c r="AS108" s="27" t="str">
        <f>""</f>
        <v/>
      </c>
      <c r="AT108" s="27" t="str">
        <f>""</f>
        <v/>
      </c>
      <c r="AU108" s="27" t="str">
        <f>""</f>
        <v/>
      </c>
      <c r="AV108" s="27" t="str">
        <f>"2004"</f>
        <v>2004</v>
      </c>
      <c r="AW108" s="27" t="str">
        <f>"18,00"</f>
        <v>18,00</v>
      </c>
      <c r="AX108" s="27" t="str">
        <f>"2044-2046"</f>
        <v>2044-2046</v>
      </c>
      <c r="AY108" s="27" t="str">
        <f t="shared" si="94"/>
        <v>нет</v>
      </c>
      <c r="AZ108" s="27" t="str">
        <f>""</f>
        <v/>
      </c>
      <c r="BA108" s="27" t="str">
        <f>""</f>
        <v/>
      </c>
      <c r="BB108" s="27" t="str">
        <f>""</f>
        <v/>
      </c>
      <c r="BC108" s="27" t="str">
        <f t="shared" si="95"/>
        <v>нет</v>
      </c>
      <c r="BD108" s="27" t="str">
        <f>""</f>
        <v/>
      </c>
      <c r="BE108" s="27" t="str">
        <f>""</f>
        <v/>
      </c>
      <c r="BF108" s="27" t="str">
        <f>""</f>
        <v/>
      </c>
      <c r="BG108" s="27" t="str">
        <f>"2007"</f>
        <v>2007</v>
      </c>
      <c r="BH108" s="27" t="str">
        <f>"40,00"</f>
        <v>40,00</v>
      </c>
      <c r="BI108" s="27" t="str">
        <f>"2037-2039"</f>
        <v>2037-2039</v>
      </c>
      <c r="BJ108" s="27" t="str">
        <f t="shared" si="81"/>
        <v>нет</v>
      </c>
      <c r="BK108" s="27" t="str">
        <f t="shared" si="92"/>
        <v>x</v>
      </c>
      <c r="BL108" s="27" t="str">
        <f>"60,00"</f>
        <v>60,00</v>
      </c>
      <c r="BM108" s="27" t="str">
        <f>"2024-2026"</f>
        <v>2024-2026</v>
      </c>
      <c r="BN108" s="27" t="str">
        <f>""</f>
        <v/>
      </c>
      <c r="BO108" s="27" t="str">
        <f>"60,00"</f>
        <v>60,00</v>
      </c>
      <c r="BP108" s="27" t="str">
        <f>"2026-2028"</f>
        <v>2026-2028</v>
      </c>
      <c r="BQ108" s="27" t="str">
        <f>""</f>
        <v/>
      </c>
      <c r="BR108" s="27" t="str">
        <f>"60,00"</f>
        <v>60,00</v>
      </c>
      <c r="BS108" s="27" t="str">
        <f>"2024-2026"</f>
        <v>2024-2026</v>
      </c>
      <c r="BT108" s="11"/>
      <c r="BU108" s="11"/>
      <c r="BV108" s="11"/>
      <c r="BW108" s="11"/>
      <c r="BX108" s="11"/>
      <c r="BY108" s="11"/>
      <c r="BZ108" s="11"/>
      <c r="CA108" s="11"/>
      <c r="CB108" s="11"/>
      <c r="CC108" s="11"/>
      <c r="CD108" s="11"/>
      <c r="CE108" s="11"/>
      <c r="CF108" s="11"/>
      <c r="CG108" s="11"/>
      <c r="CH108" s="11"/>
      <c r="CI108" s="11"/>
      <c r="CJ108" s="11"/>
      <c r="CK108" s="11"/>
      <c r="CL108" s="11"/>
      <c r="CM108" s="11"/>
      <c r="CN108" s="11"/>
      <c r="CO108" s="11"/>
      <c r="CP108" s="11"/>
      <c r="CQ108" s="11"/>
      <c r="CR108" s="11"/>
      <c r="CS108" s="11"/>
      <c r="CT108" s="11"/>
      <c r="CU108" s="11"/>
      <c r="CV108" s="11"/>
      <c r="CW108" s="11"/>
      <c r="CX108" s="11"/>
      <c r="CY108" s="11"/>
      <c r="CZ108" s="11"/>
      <c r="DA108" s="11"/>
      <c r="DB108" s="11"/>
      <c r="DC108" s="11"/>
      <c r="DD108" s="11"/>
      <c r="DE108" s="11"/>
      <c r="DF108" s="11"/>
      <c r="DG108" s="11"/>
      <c r="DH108" s="11"/>
      <c r="DI108" s="11"/>
      <c r="DJ108" s="11"/>
      <c r="DK108" s="11"/>
      <c r="DL108" s="11"/>
      <c r="DM108" s="11"/>
      <c r="DN108" s="11"/>
      <c r="DO108" s="11"/>
    </row>
    <row r="109" spans="1:119" s="10" customFormat="1" ht="11.25" customHeight="1">
      <c r="A109" s="24" t="str">
        <f>"1.96"</f>
        <v>1.96</v>
      </c>
      <c r="B109" s="25" t="str">
        <f>"г. Кириллов, ул. Пролетарская, д.26А"</f>
        <v>г. Кириллов, ул. Пролетарская, д.26А</v>
      </c>
      <c r="C109" s="26" t="str">
        <f>"1972"</f>
        <v>1972</v>
      </c>
      <c r="D109" s="27" t="str">
        <f>""</f>
        <v/>
      </c>
      <c r="E109" s="27" t="str">
        <f>"80,00"</f>
        <v>80,00</v>
      </c>
      <c r="F109" s="27" t="str">
        <f>"2019-2021"</f>
        <v>2019-2021</v>
      </c>
      <c r="G109" s="27" t="str">
        <f t="shared" si="85"/>
        <v>да</v>
      </c>
      <c r="H109" s="27" t="str">
        <f>"2011"</f>
        <v>2011</v>
      </c>
      <c r="I109" s="27" t="str">
        <f>"13,00"</f>
        <v>13,00</v>
      </c>
      <c r="J109" s="27" t="str">
        <f>"2027-2029"</f>
        <v>2027-2029</v>
      </c>
      <c r="K109" s="27" t="str">
        <f t="shared" si="98"/>
        <v>нет</v>
      </c>
      <c r="L109" s="27" t="str">
        <f>""</f>
        <v/>
      </c>
      <c r="M109" s="27" t="str">
        <f>""</f>
        <v/>
      </c>
      <c r="N109" s="27" t="str">
        <f>""</f>
        <v/>
      </c>
      <c r="O109" s="28" t="str">
        <f>""</f>
        <v/>
      </c>
      <c r="P109" s="27" t="str">
        <f>""</f>
        <v/>
      </c>
      <c r="Q109" s="27" t="str">
        <f>""</f>
        <v/>
      </c>
      <c r="R109" s="27" t="str">
        <f>"нет"</f>
        <v>нет</v>
      </c>
      <c r="S109" s="27" t="str">
        <f>""</f>
        <v/>
      </c>
      <c r="T109" s="27" t="str">
        <f>""</f>
        <v/>
      </c>
      <c r="U109" s="27" t="str">
        <f>""</f>
        <v/>
      </c>
      <c r="V109" s="27" t="str">
        <f t="shared" si="99"/>
        <v>нет</v>
      </c>
      <c r="W109" s="27" t="str">
        <f>""</f>
        <v/>
      </c>
      <c r="X109" s="27" t="str">
        <f>""</f>
        <v/>
      </c>
      <c r="Y109" s="29" t="str">
        <f>""</f>
        <v/>
      </c>
      <c r="Z109" s="27" t="str">
        <f t="shared" si="80"/>
        <v>х</v>
      </c>
      <c r="AA109" s="27" t="str">
        <f t="shared" si="86"/>
        <v>х</v>
      </c>
      <c r="AB109" s="27" t="str">
        <f t="shared" si="86"/>
        <v>х</v>
      </c>
      <c r="AC109" s="27" t="str">
        <f t="shared" si="96"/>
        <v>нет</v>
      </c>
      <c r="AD109" s="27" t="str">
        <f t="shared" si="87"/>
        <v>х</v>
      </c>
      <c r="AE109" s="27" t="str">
        <f t="shared" si="87"/>
        <v>х</v>
      </c>
      <c r="AF109" s="27" t="str">
        <f t="shared" si="87"/>
        <v>х</v>
      </c>
      <c r="AG109" s="27" t="str">
        <f t="shared" si="97"/>
        <v>нет</v>
      </c>
      <c r="AH109" s="27" t="str">
        <f t="shared" si="88"/>
        <v>х</v>
      </c>
      <c r="AI109" s="27" t="str">
        <f t="shared" si="88"/>
        <v>х</v>
      </c>
      <c r="AJ109" s="27" t="str">
        <f t="shared" si="88"/>
        <v>х</v>
      </c>
      <c r="AK109" s="28" t="str">
        <f>"2009"</f>
        <v>2009</v>
      </c>
      <c r="AL109" s="27" t="str">
        <f>"13,00"</f>
        <v>13,00</v>
      </c>
      <c r="AM109" s="27" t="str">
        <f>"2039-2041"</f>
        <v>2039-2041</v>
      </c>
      <c r="AN109" s="30" t="str">
        <f>"нет"</f>
        <v>нет</v>
      </c>
      <c r="AO109" s="27" t="str">
        <f>""</f>
        <v/>
      </c>
      <c r="AP109" s="27" t="str">
        <f>""</f>
        <v/>
      </c>
      <c r="AQ109" s="27" t="str">
        <f>""</f>
        <v/>
      </c>
      <c r="AR109" s="27" t="str">
        <f t="shared" si="93"/>
        <v>нет</v>
      </c>
      <c r="AS109" s="27" t="str">
        <f>""</f>
        <v/>
      </c>
      <c r="AT109" s="27" t="str">
        <f>""</f>
        <v/>
      </c>
      <c r="AU109" s="27" t="str">
        <f>""</f>
        <v/>
      </c>
      <c r="AV109" s="27" t="str">
        <f>"2009"</f>
        <v>2009</v>
      </c>
      <c r="AW109" s="27" t="str">
        <f>"8,00"</f>
        <v>8,00</v>
      </c>
      <c r="AX109" s="27" t="str">
        <f>"2045-2047"</f>
        <v>2045-2047</v>
      </c>
      <c r="AY109" s="27" t="str">
        <f t="shared" si="94"/>
        <v>нет</v>
      </c>
      <c r="AZ109" s="27" t="str">
        <f>""</f>
        <v/>
      </c>
      <c r="BA109" s="27" t="str">
        <f>""</f>
        <v/>
      </c>
      <c r="BB109" s="27" t="str">
        <f>""</f>
        <v/>
      </c>
      <c r="BC109" s="27" t="str">
        <f t="shared" si="95"/>
        <v>нет</v>
      </c>
      <c r="BD109" s="27" t="str">
        <f>""</f>
        <v/>
      </c>
      <c r="BE109" s="27" t="str">
        <f>""</f>
        <v/>
      </c>
      <c r="BF109" s="27" t="str">
        <f>""</f>
        <v/>
      </c>
      <c r="BG109" s="27" t="str">
        <f>""</f>
        <v/>
      </c>
      <c r="BH109" s="27" t="str">
        <f>"65,00"</f>
        <v>65,00</v>
      </c>
      <c r="BI109" s="27" t="str">
        <f>"2027-2029"</f>
        <v>2027-2029</v>
      </c>
      <c r="BJ109" s="27" t="str">
        <f t="shared" si="81"/>
        <v>нет</v>
      </c>
      <c r="BK109" s="27" t="str">
        <f t="shared" si="92"/>
        <v>x</v>
      </c>
      <c r="BL109" s="27" t="str">
        <f>"60,00"</f>
        <v>60,00</v>
      </c>
      <c r="BM109" s="27" t="str">
        <f>"2032-2034"</f>
        <v>2032-2034</v>
      </c>
      <c r="BN109" s="27" t="str">
        <f>""</f>
        <v/>
      </c>
      <c r="BO109" s="27" t="str">
        <f>"60,00"</f>
        <v>60,00</v>
      </c>
      <c r="BP109" s="27" t="str">
        <f>"2038-2040"</f>
        <v>2038-2040</v>
      </c>
      <c r="BQ109" s="27" t="str">
        <f>""</f>
        <v/>
      </c>
      <c r="BR109" s="27" t="str">
        <f>"60,00"</f>
        <v>60,00</v>
      </c>
      <c r="BS109" s="27" t="str">
        <f>"2032-2034"</f>
        <v>2032-2034</v>
      </c>
      <c r="BT109" s="11"/>
      <c r="BU109" s="11"/>
      <c r="BV109" s="11"/>
      <c r="BW109" s="11"/>
      <c r="BX109" s="11"/>
      <c r="BY109" s="11"/>
      <c r="BZ109" s="11"/>
      <c r="CA109" s="11"/>
      <c r="CB109" s="11"/>
      <c r="CC109" s="11"/>
      <c r="CD109" s="11"/>
      <c r="CE109" s="11"/>
      <c r="CF109" s="11"/>
      <c r="CG109" s="11"/>
      <c r="CH109" s="11"/>
      <c r="CI109" s="11"/>
      <c r="CJ109" s="11"/>
      <c r="CK109" s="11"/>
      <c r="CL109" s="11"/>
      <c r="CM109" s="11"/>
      <c r="CN109" s="11"/>
      <c r="CO109" s="11"/>
      <c r="CP109" s="11"/>
      <c r="CQ109" s="11"/>
      <c r="CR109" s="11"/>
      <c r="CS109" s="11"/>
      <c r="CT109" s="11"/>
      <c r="CU109" s="11"/>
      <c r="CV109" s="11"/>
      <c r="CW109" s="11"/>
      <c r="CX109" s="11"/>
      <c r="CY109" s="11"/>
      <c r="CZ109" s="11"/>
      <c r="DA109" s="11"/>
      <c r="DB109" s="11"/>
      <c r="DC109" s="11"/>
      <c r="DD109" s="11"/>
      <c r="DE109" s="11"/>
      <c r="DF109" s="11"/>
      <c r="DG109" s="11"/>
      <c r="DH109" s="11"/>
      <c r="DI109" s="11"/>
      <c r="DJ109" s="11"/>
      <c r="DK109" s="11"/>
      <c r="DL109" s="11"/>
      <c r="DM109" s="11"/>
      <c r="DN109" s="11"/>
      <c r="DO109" s="11"/>
    </row>
    <row r="110" spans="1:119" s="9" customFormat="1" ht="11.25" customHeight="1">
      <c r="A110" s="24" t="str">
        <f>"1.97"</f>
        <v>1.97</v>
      </c>
      <c r="B110" s="25" t="str">
        <f>"г. Кириллов, ул. Пролетарская, д.27"</f>
        <v>г. Кириллов, ул. Пролетарская, д.27</v>
      </c>
      <c r="C110" s="26" t="str">
        <f>"1998"</f>
        <v>1998</v>
      </c>
      <c r="D110" s="27" t="str">
        <f>""</f>
        <v/>
      </c>
      <c r="E110" s="27" t="str">
        <f>"75,00"</f>
        <v>75,00</v>
      </c>
      <c r="F110" s="27" t="str">
        <f>"2038-2040"</f>
        <v>2038-2040</v>
      </c>
      <c r="G110" s="27" t="str">
        <f t="shared" si="85"/>
        <v>да</v>
      </c>
      <c r="H110" s="27" t="str">
        <f>"2010"</f>
        <v>2010</v>
      </c>
      <c r="I110" s="27" t="str">
        <f>"19,00"</f>
        <v>19,00</v>
      </c>
      <c r="J110" s="27" t="str">
        <f>"2026-2028"</f>
        <v>2026-2028</v>
      </c>
      <c r="K110" s="27" t="str">
        <f t="shared" si="98"/>
        <v>нет</v>
      </c>
      <c r="L110" s="27" t="str">
        <f>""</f>
        <v/>
      </c>
      <c r="M110" s="27" t="str">
        <f>""</f>
        <v/>
      </c>
      <c r="N110" s="27" t="str">
        <f>""</f>
        <v/>
      </c>
      <c r="O110" s="28" t="str">
        <f>""</f>
        <v/>
      </c>
      <c r="P110" s="27" t="str">
        <f>"60,00"</f>
        <v>60,00</v>
      </c>
      <c r="Q110" s="27" t="str">
        <f>"2029-2031"</f>
        <v>2029-2031</v>
      </c>
      <c r="R110" s="27" t="str">
        <f t="shared" ref="R110:R115" si="100">"да"</f>
        <v>да</v>
      </c>
      <c r="S110" s="27" t="str">
        <f>"2011"</f>
        <v>2011</v>
      </c>
      <c r="T110" s="27" t="str">
        <f>"19,00"</f>
        <v>19,00</v>
      </c>
      <c r="U110" s="27" t="str">
        <f>"2027-2029"</f>
        <v>2027-2029</v>
      </c>
      <c r="V110" s="27" t="str">
        <f t="shared" si="99"/>
        <v>нет</v>
      </c>
      <c r="W110" s="27" t="str">
        <f>""</f>
        <v/>
      </c>
      <c r="X110" s="27" t="str">
        <f>""</f>
        <v/>
      </c>
      <c r="Y110" s="29" t="str">
        <f>""</f>
        <v/>
      </c>
      <c r="Z110" s="27" t="str">
        <f t="shared" ref="Z110:Z141" si="101">"х"</f>
        <v>х</v>
      </c>
      <c r="AA110" s="27" t="str">
        <f t="shared" si="86"/>
        <v>х</v>
      </c>
      <c r="AB110" s="27" t="str">
        <f t="shared" si="86"/>
        <v>х</v>
      </c>
      <c r="AC110" s="27" t="str">
        <f t="shared" si="96"/>
        <v>нет</v>
      </c>
      <c r="AD110" s="27" t="str">
        <f t="shared" si="87"/>
        <v>х</v>
      </c>
      <c r="AE110" s="27" t="str">
        <f t="shared" si="87"/>
        <v>х</v>
      </c>
      <c r="AF110" s="27" t="str">
        <f t="shared" si="87"/>
        <v>х</v>
      </c>
      <c r="AG110" s="27" t="str">
        <f t="shared" si="97"/>
        <v>нет</v>
      </c>
      <c r="AH110" s="27" t="str">
        <f t="shared" si="88"/>
        <v>х</v>
      </c>
      <c r="AI110" s="27" t="str">
        <f t="shared" si="88"/>
        <v>х</v>
      </c>
      <c r="AJ110" s="27" t="str">
        <f t="shared" si="88"/>
        <v>х</v>
      </c>
      <c r="AK110" s="28" t="str">
        <f>""</f>
        <v/>
      </c>
      <c r="AL110" s="27" t="str">
        <f>"50,00"</f>
        <v>50,00</v>
      </c>
      <c r="AM110" s="27" t="str">
        <f>"2029-2031"</f>
        <v>2029-2031</v>
      </c>
      <c r="AN110" s="30" t="str">
        <f>"да"</f>
        <v>да</v>
      </c>
      <c r="AO110" s="27" t="str">
        <f>"2011"</f>
        <v>2011</v>
      </c>
      <c r="AP110" s="27" t="str">
        <f>"7,00"</f>
        <v>7,00</v>
      </c>
      <c r="AQ110" s="27" t="str">
        <f>"2017-2019"</f>
        <v>2017-2019</v>
      </c>
      <c r="AR110" s="27" t="str">
        <f t="shared" si="93"/>
        <v>нет</v>
      </c>
      <c r="AS110" s="27" t="str">
        <f>""</f>
        <v/>
      </c>
      <c r="AT110" s="27" t="str">
        <f>""</f>
        <v/>
      </c>
      <c r="AU110" s="27" t="str">
        <f>""</f>
        <v/>
      </c>
      <c r="AV110" s="27" t="str">
        <f>""</f>
        <v/>
      </c>
      <c r="AW110" s="27" t="str">
        <f>"30,00"</f>
        <v>30,00</v>
      </c>
      <c r="AX110" s="27" t="str">
        <f>"2038-2040"</f>
        <v>2038-2040</v>
      </c>
      <c r="AY110" s="27" t="str">
        <f t="shared" si="94"/>
        <v>нет</v>
      </c>
      <c r="AZ110" s="27" t="str">
        <f>""</f>
        <v/>
      </c>
      <c r="BA110" s="27" t="str">
        <f>""</f>
        <v/>
      </c>
      <c r="BB110" s="27" t="str">
        <f>""</f>
        <v/>
      </c>
      <c r="BC110" s="27" t="str">
        <f t="shared" si="95"/>
        <v>нет</v>
      </c>
      <c r="BD110" s="27" t="str">
        <f>""</f>
        <v/>
      </c>
      <c r="BE110" s="27" t="str">
        <f>""</f>
        <v/>
      </c>
      <c r="BF110" s="27" t="str">
        <f>""</f>
        <v/>
      </c>
      <c r="BG110" s="27" t="str">
        <f>""</f>
        <v/>
      </c>
      <c r="BH110" s="27" t="str">
        <f>"50,00"</f>
        <v>50,00</v>
      </c>
      <c r="BI110" s="27" t="str">
        <f>"2020-2022"</f>
        <v>2020-2022</v>
      </c>
      <c r="BJ110" s="27" t="str">
        <f t="shared" ref="BJ110:BJ141" si="102">"нет"</f>
        <v>нет</v>
      </c>
      <c r="BK110" s="27" t="str">
        <f t="shared" si="92"/>
        <v>x</v>
      </c>
      <c r="BL110" s="27" t="str">
        <f>"30,00"</f>
        <v>30,00</v>
      </c>
      <c r="BM110" s="27" t="str">
        <f>"2038-2040"</f>
        <v>2038-2040</v>
      </c>
      <c r="BN110" s="27" t="str">
        <f>""</f>
        <v/>
      </c>
      <c r="BO110" s="27" t="str">
        <f>"40,00"</f>
        <v>40,00</v>
      </c>
      <c r="BP110" s="27" t="str">
        <f>"2024-2026"</f>
        <v>2024-2026</v>
      </c>
      <c r="BQ110" s="27" t="str">
        <f>""</f>
        <v/>
      </c>
      <c r="BR110" s="27" t="str">
        <f>"30,00"</f>
        <v>30,00</v>
      </c>
      <c r="BS110" s="27" t="str">
        <f>"2038-2040"</f>
        <v>2038-2040</v>
      </c>
      <c r="BT110" s="11"/>
      <c r="BU110" s="11"/>
      <c r="BV110" s="11"/>
      <c r="BW110" s="11"/>
      <c r="BX110" s="11"/>
      <c r="BY110" s="11"/>
      <c r="BZ110" s="11"/>
      <c r="CA110" s="11"/>
      <c r="CB110" s="11"/>
      <c r="CC110" s="11"/>
      <c r="CD110" s="11"/>
      <c r="CE110" s="11"/>
      <c r="CF110" s="11"/>
      <c r="CG110" s="11"/>
      <c r="CH110" s="11"/>
      <c r="CI110" s="11"/>
      <c r="CJ110" s="11"/>
      <c r="CK110" s="11"/>
      <c r="CL110" s="11"/>
      <c r="CM110" s="11"/>
      <c r="CN110" s="11"/>
      <c r="CO110" s="11"/>
      <c r="CP110" s="11"/>
      <c r="CQ110" s="11"/>
      <c r="CR110" s="11"/>
      <c r="CS110" s="11"/>
      <c r="CT110" s="11"/>
      <c r="CU110" s="11"/>
      <c r="CV110" s="11"/>
      <c r="CW110" s="11"/>
      <c r="CX110" s="11"/>
      <c r="CY110" s="11"/>
      <c r="CZ110" s="11"/>
      <c r="DA110" s="11"/>
      <c r="DB110" s="11"/>
      <c r="DC110" s="11"/>
      <c r="DD110" s="11"/>
      <c r="DE110" s="11"/>
      <c r="DF110" s="11"/>
      <c r="DG110" s="11"/>
      <c r="DH110" s="11"/>
      <c r="DI110" s="11"/>
      <c r="DJ110" s="11"/>
      <c r="DK110" s="11"/>
      <c r="DL110" s="11"/>
      <c r="DM110" s="11"/>
      <c r="DN110" s="11"/>
      <c r="DO110" s="11"/>
    </row>
    <row r="111" spans="1:119" s="9" customFormat="1" ht="11.25" customHeight="1">
      <c r="A111" s="24" t="str">
        <f>"1.98"</f>
        <v>1.98</v>
      </c>
      <c r="B111" s="25" t="str">
        <f>"г. Кириллов, ул. Пролетарская, д.29"</f>
        <v>г. Кириллов, ул. Пролетарская, д.29</v>
      </c>
      <c r="C111" s="26" t="str">
        <f>"1989"</f>
        <v>1989</v>
      </c>
      <c r="D111" s="27" t="str">
        <f>""</f>
        <v/>
      </c>
      <c r="E111" s="27" t="str">
        <f>"60,00"</f>
        <v>60,00</v>
      </c>
      <c r="F111" s="27" t="str">
        <f>"2028-2030"</f>
        <v>2028-2030</v>
      </c>
      <c r="G111" s="27" t="str">
        <f t="shared" si="85"/>
        <v>да</v>
      </c>
      <c r="H111" s="27" t="str">
        <f>"2010"</f>
        <v>2010</v>
      </c>
      <c r="I111" s="27" t="str">
        <f>"19,00"</f>
        <v>19,00</v>
      </c>
      <c r="J111" s="27" t="str">
        <f>"2026-2028"</f>
        <v>2026-2028</v>
      </c>
      <c r="K111" s="27" t="str">
        <f t="shared" si="98"/>
        <v>нет</v>
      </c>
      <c r="L111" s="27" t="str">
        <f>""</f>
        <v/>
      </c>
      <c r="M111" s="27" t="str">
        <f>""</f>
        <v/>
      </c>
      <c r="N111" s="27" t="str">
        <f>""</f>
        <v/>
      </c>
      <c r="O111" s="28" t="str">
        <f>""</f>
        <v/>
      </c>
      <c r="P111" s="27" t="str">
        <f>"60,00"</f>
        <v>60,00</v>
      </c>
      <c r="Q111" s="27" t="str">
        <f>"2020-2022"</f>
        <v>2020-2022</v>
      </c>
      <c r="R111" s="27" t="str">
        <f t="shared" si="100"/>
        <v>да</v>
      </c>
      <c r="S111" s="27" t="str">
        <f>"2012"</f>
        <v>2012</v>
      </c>
      <c r="T111" s="27" t="str">
        <f>"6,00"</f>
        <v>6,00</v>
      </c>
      <c r="U111" s="27" t="str">
        <f>"2028-2030"</f>
        <v>2028-2030</v>
      </c>
      <c r="V111" s="27" t="str">
        <f t="shared" si="99"/>
        <v>нет</v>
      </c>
      <c r="W111" s="27" t="str">
        <f>""</f>
        <v/>
      </c>
      <c r="X111" s="27" t="str">
        <f>""</f>
        <v/>
      </c>
      <c r="Y111" s="29" t="str">
        <f>""</f>
        <v/>
      </c>
      <c r="Z111" s="27" t="str">
        <f t="shared" si="101"/>
        <v>х</v>
      </c>
      <c r="AA111" s="27" t="str">
        <f t="shared" si="86"/>
        <v>х</v>
      </c>
      <c r="AB111" s="27" t="str">
        <f t="shared" si="86"/>
        <v>х</v>
      </c>
      <c r="AC111" s="27" t="str">
        <f t="shared" si="96"/>
        <v>нет</v>
      </c>
      <c r="AD111" s="27" t="str">
        <f t="shared" si="87"/>
        <v>х</v>
      </c>
      <c r="AE111" s="27" t="str">
        <f t="shared" si="87"/>
        <v>х</v>
      </c>
      <c r="AF111" s="27" t="str">
        <f t="shared" si="87"/>
        <v>х</v>
      </c>
      <c r="AG111" s="27" t="str">
        <f t="shared" si="97"/>
        <v>нет</v>
      </c>
      <c r="AH111" s="27" t="str">
        <f t="shared" si="88"/>
        <v>х</v>
      </c>
      <c r="AI111" s="27" t="str">
        <f t="shared" si="88"/>
        <v>х</v>
      </c>
      <c r="AJ111" s="27" t="str">
        <f t="shared" si="88"/>
        <v>х</v>
      </c>
      <c r="AK111" s="28" t="str">
        <f>""</f>
        <v/>
      </c>
      <c r="AL111" s="27" t="str">
        <f>"80,00"</f>
        <v>80,00</v>
      </c>
      <c r="AM111" s="27" t="str">
        <f>"2029-2031"</f>
        <v>2029-2031</v>
      </c>
      <c r="AN111" s="30" t="str">
        <f>"да"</f>
        <v>да</v>
      </c>
      <c r="AO111" s="27" t="str">
        <f>"2012"</f>
        <v>2012</v>
      </c>
      <c r="AP111" s="27" t="str">
        <f>"17,00"</f>
        <v>17,00</v>
      </c>
      <c r="AQ111" s="27" t="str">
        <f>"2018-2020"</f>
        <v>2018-2020</v>
      </c>
      <c r="AR111" s="27" t="str">
        <f t="shared" si="93"/>
        <v>нет</v>
      </c>
      <c r="AS111" s="27" t="str">
        <f>""</f>
        <v/>
      </c>
      <c r="AT111" s="27" t="str">
        <f>""</f>
        <v/>
      </c>
      <c r="AU111" s="27" t="str">
        <f>""</f>
        <v/>
      </c>
      <c r="AV111" s="27" t="str">
        <f>""</f>
        <v/>
      </c>
      <c r="AW111" s="27" t="str">
        <f>"60,00"</f>
        <v>60,00</v>
      </c>
      <c r="AX111" s="27" t="str">
        <f>"2027-2029"</f>
        <v>2027-2029</v>
      </c>
      <c r="AY111" s="27" t="str">
        <f t="shared" si="94"/>
        <v>нет</v>
      </c>
      <c r="AZ111" s="27" t="str">
        <f>""</f>
        <v/>
      </c>
      <c r="BA111" s="27" t="str">
        <f>""</f>
        <v/>
      </c>
      <c r="BB111" s="27" t="str">
        <f>""</f>
        <v/>
      </c>
      <c r="BC111" s="27" t="str">
        <f t="shared" si="95"/>
        <v>нет</v>
      </c>
      <c r="BD111" s="27" t="str">
        <f>""</f>
        <v/>
      </c>
      <c r="BE111" s="27" t="str">
        <f>""</f>
        <v/>
      </c>
      <c r="BF111" s="27" t="str">
        <f>""</f>
        <v/>
      </c>
      <c r="BG111" s="27" t="str">
        <f>"2011"</f>
        <v>2011</v>
      </c>
      <c r="BH111" s="27" t="str">
        <f>"13,00"</f>
        <v>13,00</v>
      </c>
      <c r="BI111" s="27" t="str">
        <f>"2031-2033"</f>
        <v>2031-2033</v>
      </c>
      <c r="BJ111" s="27" t="str">
        <f t="shared" si="102"/>
        <v>нет</v>
      </c>
      <c r="BK111" s="27" t="str">
        <f t="shared" si="92"/>
        <v>x</v>
      </c>
      <c r="BL111" s="27" t="str">
        <f>"40,00"</f>
        <v>40,00</v>
      </c>
      <c r="BM111" s="27" t="str">
        <f>"2031-2033"</f>
        <v>2031-2033</v>
      </c>
      <c r="BN111" s="27" t="str">
        <f>""</f>
        <v/>
      </c>
      <c r="BO111" s="27" t="str">
        <f>"40,00"</f>
        <v>40,00</v>
      </c>
      <c r="BP111" s="27" t="str">
        <f>"2035-2037"</f>
        <v>2035-2037</v>
      </c>
      <c r="BQ111" s="27" t="str">
        <f>""</f>
        <v/>
      </c>
      <c r="BR111" s="27" t="str">
        <f>"35,00"</f>
        <v>35,00</v>
      </c>
      <c r="BS111" s="27" t="str">
        <f>"2031-2033"</f>
        <v>2031-2033</v>
      </c>
      <c r="BT111" s="11"/>
      <c r="BU111" s="11"/>
      <c r="BV111" s="11"/>
      <c r="BW111" s="11"/>
      <c r="BX111" s="11"/>
      <c r="BY111" s="11"/>
      <c r="BZ111" s="11"/>
      <c r="CA111" s="11"/>
      <c r="CB111" s="11"/>
      <c r="CC111" s="11"/>
      <c r="CD111" s="11"/>
      <c r="CE111" s="11"/>
      <c r="CF111" s="11"/>
      <c r="CG111" s="11"/>
      <c r="CH111" s="11"/>
      <c r="CI111" s="11"/>
      <c r="CJ111" s="11"/>
      <c r="CK111" s="11"/>
      <c r="CL111" s="11"/>
      <c r="CM111" s="11"/>
      <c r="CN111" s="11"/>
      <c r="CO111" s="11"/>
      <c r="CP111" s="11"/>
      <c r="CQ111" s="11"/>
      <c r="CR111" s="11"/>
      <c r="CS111" s="11"/>
      <c r="CT111" s="11"/>
      <c r="CU111" s="11"/>
      <c r="CV111" s="11"/>
      <c r="CW111" s="11"/>
      <c r="CX111" s="11"/>
      <c r="CY111" s="11"/>
      <c r="CZ111" s="11"/>
      <c r="DA111" s="11"/>
      <c r="DB111" s="11"/>
      <c r="DC111" s="11"/>
      <c r="DD111" s="11"/>
      <c r="DE111" s="11"/>
      <c r="DF111" s="11"/>
      <c r="DG111" s="11"/>
      <c r="DH111" s="11"/>
      <c r="DI111" s="11"/>
      <c r="DJ111" s="11"/>
      <c r="DK111" s="11"/>
      <c r="DL111" s="11"/>
      <c r="DM111" s="11"/>
      <c r="DN111" s="11"/>
      <c r="DO111" s="11"/>
    </row>
    <row r="112" spans="1:119" s="10" customFormat="1" ht="11.25" customHeight="1">
      <c r="A112" s="24" t="str">
        <f>"1.99"</f>
        <v>1.99</v>
      </c>
      <c r="B112" s="25" t="str">
        <f>"г. Кириллов, ул. Пролетарская, д.32"</f>
        <v>г. Кириллов, ул. Пролетарская, д.32</v>
      </c>
      <c r="C112" s="26" t="str">
        <f>"1993"</f>
        <v>1993</v>
      </c>
      <c r="D112" s="27" t="str">
        <f>""</f>
        <v/>
      </c>
      <c r="E112" s="27" t="str">
        <f>"80,00"</f>
        <v>80,00</v>
      </c>
      <c r="F112" s="27" t="str">
        <f>"2028-2030"</f>
        <v>2028-2030</v>
      </c>
      <c r="G112" s="27" t="str">
        <f t="shared" si="85"/>
        <v>да</v>
      </c>
      <c r="H112" s="27" t="str">
        <f>"2009"</f>
        <v>2009</v>
      </c>
      <c r="I112" s="27" t="str">
        <f>"25,00"</f>
        <v>25,00</v>
      </c>
      <c r="J112" s="27" t="str">
        <f>"2025-2027"</f>
        <v>2025-2027</v>
      </c>
      <c r="K112" s="27" t="str">
        <f t="shared" si="98"/>
        <v>нет</v>
      </c>
      <c r="L112" s="27" t="str">
        <f>""</f>
        <v/>
      </c>
      <c r="M112" s="27" t="str">
        <f>""</f>
        <v/>
      </c>
      <c r="N112" s="27" t="str">
        <f>""</f>
        <v/>
      </c>
      <c r="O112" s="28" t="str">
        <f>""</f>
        <v/>
      </c>
      <c r="P112" s="27" t="str">
        <f>"50,00"</f>
        <v>50,00</v>
      </c>
      <c r="Q112" s="27" t="str">
        <f>"2031-2033"</f>
        <v>2031-2033</v>
      </c>
      <c r="R112" s="27" t="str">
        <f t="shared" si="100"/>
        <v>да</v>
      </c>
      <c r="S112" s="27" t="str">
        <f>"2010"</f>
        <v>2010</v>
      </c>
      <c r="T112" s="27" t="str">
        <f>"18,00"</f>
        <v>18,00</v>
      </c>
      <c r="U112" s="27" t="str">
        <f>"2026-2028"</f>
        <v>2026-2028</v>
      </c>
      <c r="V112" s="27" t="str">
        <f t="shared" si="99"/>
        <v>нет</v>
      </c>
      <c r="W112" s="27" t="str">
        <f>""</f>
        <v/>
      </c>
      <c r="X112" s="27" t="str">
        <f>""</f>
        <v/>
      </c>
      <c r="Y112" s="29" t="str">
        <f>""</f>
        <v/>
      </c>
      <c r="Z112" s="27" t="str">
        <f t="shared" si="101"/>
        <v>х</v>
      </c>
      <c r="AA112" s="27" t="str">
        <f t="shared" si="86"/>
        <v>х</v>
      </c>
      <c r="AB112" s="27" t="str">
        <f t="shared" si="86"/>
        <v>х</v>
      </c>
      <c r="AC112" s="27" t="str">
        <f t="shared" si="96"/>
        <v>нет</v>
      </c>
      <c r="AD112" s="27" t="str">
        <f t="shared" si="87"/>
        <v>х</v>
      </c>
      <c r="AE112" s="27" t="str">
        <f t="shared" si="87"/>
        <v>х</v>
      </c>
      <c r="AF112" s="27" t="str">
        <f t="shared" si="87"/>
        <v>х</v>
      </c>
      <c r="AG112" s="27" t="str">
        <f t="shared" si="97"/>
        <v>нет</v>
      </c>
      <c r="AH112" s="27" t="str">
        <f t="shared" si="88"/>
        <v>х</v>
      </c>
      <c r="AI112" s="27" t="str">
        <f t="shared" si="88"/>
        <v>х</v>
      </c>
      <c r="AJ112" s="27" t="str">
        <f t="shared" si="88"/>
        <v>х</v>
      </c>
      <c r="AK112" s="28" t="str">
        <f>"1993"</f>
        <v>1993</v>
      </c>
      <c r="AL112" s="27" t="str">
        <f>"67,00"</f>
        <v>67,00</v>
      </c>
      <c r="AM112" s="27" t="str">
        <f>"2029-2031"</f>
        <v>2029-2031</v>
      </c>
      <c r="AN112" s="30" t="str">
        <f>"нет"</f>
        <v>нет</v>
      </c>
      <c r="AO112" s="27" t="str">
        <f>""</f>
        <v/>
      </c>
      <c r="AP112" s="27" t="str">
        <f>""</f>
        <v/>
      </c>
      <c r="AQ112" s="27" t="str">
        <f>""</f>
        <v/>
      </c>
      <c r="AR112" s="27" t="str">
        <f t="shared" si="93"/>
        <v>нет</v>
      </c>
      <c r="AS112" s="27" t="str">
        <f>""</f>
        <v/>
      </c>
      <c r="AT112" s="27" t="str">
        <f>""</f>
        <v/>
      </c>
      <c r="AU112" s="27" t="str">
        <f>""</f>
        <v/>
      </c>
      <c r="AV112" s="27" t="str">
        <f>"1993"</f>
        <v>1993</v>
      </c>
      <c r="AW112" s="27" t="str">
        <f>"50,00"</f>
        <v>50,00</v>
      </c>
      <c r="AX112" s="27" t="str">
        <f>"2033-2035"</f>
        <v>2033-2035</v>
      </c>
      <c r="AY112" s="27" t="str">
        <f t="shared" si="94"/>
        <v>нет</v>
      </c>
      <c r="AZ112" s="27" t="str">
        <f>""</f>
        <v/>
      </c>
      <c r="BA112" s="27" t="str">
        <f>""</f>
        <v/>
      </c>
      <c r="BB112" s="27" t="str">
        <f>""</f>
        <v/>
      </c>
      <c r="BC112" s="27" t="str">
        <f t="shared" si="95"/>
        <v>нет</v>
      </c>
      <c r="BD112" s="27" t="str">
        <f>""</f>
        <v/>
      </c>
      <c r="BE112" s="27" t="str">
        <f>""</f>
        <v/>
      </c>
      <c r="BF112" s="27" t="str">
        <f>""</f>
        <v/>
      </c>
      <c r="BG112" s="27" t="str">
        <f>""</f>
        <v/>
      </c>
      <c r="BH112" s="27" t="str">
        <f>"50,00"</f>
        <v>50,00</v>
      </c>
      <c r="BI112" s="27" t="str">
        <f>"2037-2039"</f>
        <v>2037-2039</v>
      </c>
      <c r="BJ112" s="27" t="str">
        <f t="shared" si="102"/>
        <v>нет</v>
      </c>
      <c r="BK112" s="27" t="str">
        <f t="shared" si="92"/>
        <v>x</v>
      </c>
      <c r="BL112" s="27" t="str">
        <f>"30,00"</f>
        <v>30,00</v>
      </c>
      <c r="BM112" s="27" t="str">
        <f>"2034-2036"</f>
        <v>2034-2036</v>
      </c>
      <c r="BN112" s="27" t="str">
        <f>""</f>
        <v/>
      </c>
      <c r="BO112" s="27" t="str">
        <f>"40,00"</f>
        <v>40,00</v>
      </c>
      <c r="BP112" s="27" t="str">
        <f>"2022-2024"</f>
        <v>2022-2024</v>
      </c>
      <c r="BQ112" s="27" t="str">
        <f>""</f>
        <v/>
      </c>
      <c r="BR112" s="27" t="str">
        <f>"30,00"</f>
        <v>30,00</v>
      </c>
      <c r="BS112" s="27" t="str">
        <f>"2034-2036"</f>
        <v>2034-2036</v>
      </c>
      <c r="BT112" s="11"/>
      <c r="BU112" s="11"/>
      <c r="BV112" s="11"/>
      <c r="BW112" s="11"/>
      <c r="BX112" s="11"/>
      <c r="BY112" s="11"/>
      <c r="BZ112" s="11"/>
      <c r="CA112" s="11"/>
      <c r="CB112" s="11"/>
      <c r="CC112" s="11"/>
      <c r="CD112" s="11"/>
      <c r="CE112" s="11"/>
      <c r="CF112" s="11"/>
      <c r="CG112" s="11"/>
      <c r="CH112" s="11"/>
      <c r="CI112" s="11"/>
      <c r="CJ112" s="11"/>
      <c r="CK112" s="11"/>
      <c r="CL112" s="11"/>
      <c r="CM112" s="11"/>
      <c r="CN112" s="11"/>
      <c r="CO112" s="11"/>
      <c r="CP112" s="11"/>
      <c r="CQ112" s="11"/>
      <c r="CR112" s="11"/>
      <c r="CS112" s="11"/>
      <c r="CT112" s="11"/>
      <c r="CU112" s="11"/>
      <c r="CV112" s="11"/>
      <c r="CW112" s="11"/>
      <c r="CX112" s="11"/>
      <c r="CY112" s="11"/>
      <c r="CZ112" s="11"/>
      <c r="DA112" s="11"/>
      <c r="DB112" s="11"/>
      <c r="DC112" s="11"/>
      <c r="DD112" s="11"/>
      <c r="DE112" s="11"/>
      <c r="DF112" s="11"/>
      <c r="DG112" s="11"/>
      <c r="DH112" s="11"/>
      <c r="DI112" s="11"/>
      <c r="DJ112" s="11"/>
      <c r="DK112" s="11"/>
      <c r="DL112" s="11"/>
      <c r="DM112" s="11"/>
      <c r="DN112" s="11"/>
      <c r="DO112" s="11"/>
    </row>
    <row r="113" spans="1:119" s="9" customFormat="1" ht="11.25" customHeight="1">
      <c r="A113" s="24" t="str">
        <f>"1.100"</f>
        <v>1.100</v>
      </c>
      <c r="B113" s="25" t="str">
        <f>"г. Кириллов, ул. Пролетарская, д.34"</f>
        <v>г. Кириллов, ул. Пролетарская, д.34</v>
      </c>
      <c r="C113" s="26" t="str">
        <f>"1983"</f>
        <v>1983</v>
      </c>
      <c r="D113" s="27" t="str">
        <f>"1993"</f>
        <v>1993</v>
      </c>
      <c r="E113" s="27" t="str">
        <f>"95,00"</f>
        <v>95,00</v>
      </c>
      <c r="F113" s="27" t="str">
        <f>"2027-2029"</f>
        <v>2027-2029</v>
      </c>
      <c r="G113" s="27" t="str">
        <f t="shared" si="85"/>
        <v>да</v>
      </c>
      <c r="H113" s="27" t="str">
        <f>"2009"</f>
        <v>2009</v>
      </c>
      <c r="I113" s="27" t="str">
        <f>"25,00"</f>
        <v>25,00</v>
      </c>
      <c r="J113" s="27" t="str">
        <f>"2025-2027"</f>
        <v>2025-2027</v>
      </c>
      <c r="K113" s="27" t="str">
        <f t="shared" si="98"/>
        <v>нет</v>
      </c>
      <c r="L113" s="27" t="str">
        <f>""</f>
        <v/>
      </c>
      <c r="M113" s="27" t="str">
        <f>""</f>
        <v/>
      </c>
      <c r="N113" s="27" t="str">
        <f>""</f>
        <v/>
      </c>
      <c r="O113" s="28" t="str">
        <f>"1993"</f>
        <v>1993</v>
      </c>
      <c r="P113" s="27" t="str">
        <f>"75,00"</f>
        <v>75,00</v>
      </c>
      <c r="Q113" s="27" t="str">
        <f>"2027-2029"</f>
        <v>2027-2029</v>
      </c>
      <c r="R113" s="27" t="str">
        <f t="shared" si="100"/>
        <v>да</v>
      </c>
      <c r="S113" s="27" t="str">
        <f>"2011"</f>
        <v>2011</v>
      </c>
      <c r="T113" s="27" t="str">
        <f>"12,00"</f>
        <v>12,00</v>
      </c>
      <c r="U113" s="27" t="str">
        <f>"2027-2029"</f>
        <v>2027-2029</v>
      </c>
      <c r="V113" s="27" t="str">
        <f t="shared" si="99"/>
        <v>нет</v>
      </c>
      <c r="W113" s="27" t="str">
        <f>""</f>
        <v/>
      </c>
      <c r="X113" s="27" t="str">
        <f>""</f>
        <v/>
      </c>
      <c r="Y113" s="29" t="str">
        <f>""</f>
        <v/>
      </c>
      <c r="Z113" s="27" t="str">
        <f t="shared" si="101"/>
        <v>х</v>
      </c>
      <c r="AA113" s="27" t="str">
        <f>"29,00"</f>
        <v>29,00</v>
      </c>
      <c r="AB113" s="27" t="str">
        <f>"2036-2038"</f>
        <v>2036-2038</v>
      </c>
      <c r="AC113" s="27" t="str">
        <f t="shared" si="96"/>
        <v>нет</v>
      </c>
      <c r="AD113" s="27" t="str">
        <f t="shared" si="87"/>
        <v>х</v>
      </c>
      <c r="AE113" s="27" t="str">
        <f t="shared" si="87"/>
        <v>х</v>
      </c>
      <c r="AF113" s="27" t="str">
        <f t="shared" si="87"/>
        <v>х</v>
      </c>
      <c r="AG113" s="27" t="str">
        <f t="shared" si="97"/>
        <v>нет</v>
      </c>
      <c r="AH113" s="27" t="str">
        <f t="shared" si="88"/>
        <v>х</v>
      </c>
      <c r="AI113" s="27" t="str">
        <f t="shared" si="88"/>
        <v>х</v>
      </c>
      <c r="AJ113" s="27" t="str">
        <f t="shared" si="88"/>
        <v>х</v>
      </c>
      <c r="AK113" s="28" t="str">
        <f>"2009"</f>
        <v>2009</v>
      </c>
      <c r="AL113" s="27" t="str">
        <f>"16,00"</f>
        <v>16,00</v>
      </c>
      <c r="AM113" s="27" t="str">
        <f>"2039-2041"</f>
        <v>2039-2041</v>
      </c>
      <c r="AN113" s="30" t="str">
        <f>"нет"</f>
        <v>нет</v>
      </c>
      <c r="AO113" s="27" t="str">
        <f>""</f>
        <v/>
      </c>
      <c r="AP113" s="27" t="str">
        <f>""</f>
        <v/>
      </c>
      <c r="AQ113" s="27" t="str">
        <f>""</f>
        <v/>
      </c>
      <c r="AR113" s="27" t="str">
        <f t="shared" si="93"/>
        <v>нет</v>
      </c>
      <c r="AS113" s="27" t="str">
        <f>""</f>
        <v/>
      </c>
      <c r="AT113" s="27" t="str">
        <f>""</f>
        <v/>
      </c>
      <c r="AU113" s="27" t="str">
        <f>""</f>
        <v/>
      </c>
      <c r="AV113" s="27" t="str">
        <f>""</f>
        <v/>
      </c>
      <c r="AW113" s="27" t="str">
        <f>"75,00"</f>
        <v>75,00</v>
      </c>
      <c r="AX113" s="27" t="str">
        <f>"2020-2022"</f>
        <v>2020-2022</v>
      </c>
      <c r="AY113" s="27" t="str">
        <f t="shared" si="94"/>
        <v>нет</v>
      </c>
      <c r="AZ113" s="27" t="str">
        <f>""</f>
        <v/>
      </c>
      <c r="BA113" s="27" t="str">
        <f>""</f>
        <v/>
      </c>
      <c r="BB113" s="27" t="str">
        <f>""</f>
        <v/>
      </c>
      <c r="BC113" s="27" t="str">
        <f t="shared" si="95"/>
        <v>нет</v>
      </c>
      <c r="BD113" s="27" t="str">
        <f>""</f>
        <v/>
      </c>
      <c r="BE113" s="27" t="str">
        <f>""</f>
        <v/>
      </c>
      <c r="BF113" s="27" t="str">
        <f>""</f>
        <v/>
      </c>
      <c r="BG113" s="27" t="str">
        <f>"1993"</f>
        <v>1993</v>
      </c>
      <c r="BH113" s="27" t="str">
        <f>"50,00"</f>
        <v>50,00</v>
      </c>
      <c r="BI113" s="27" t="str">
        <f>"2027-2029"</f>
        <v>2027-2029</v>
      </c>
      <c r="BJ113" s="27" t="str">
        <f t="shared" si="102"/>
        <v>нет</v>
      </c>
      <c r="BK113" s="27" t="str">
        <f t="shared" si="92"/>
        <v>x</v>
      </c>
      <c r="BL113" s="27" t="str">
        <f>"60,00"</f>
        <v>60,00</v>
      </c>
      <c r="BM113" s="27" t="str">
        <f>"2031-2033"</f>
        <v>2031-2033</v>
      </c>
      <c r="BN113" s="27" t="str">
        <f>""</f>
        <v/>
      </c>
      <c r="BO113" s="27" t="str">
        <f>"60,00"</f>
        <v>60,00</v>
      </c>
      <c r="BP113" s="27" t="str">
        <f>"2029-2031"</f>
        <v>2029-2031</v>
      </c>
      <c r="BQ113" s="27" t="str">
        <f>""</f>
        <v/>
      </c>
      <c r="BR113" s="27" t="str">
        <f>"60,00"</f>
        <v>60,00</v>
      </c>
      <c r="BS113" s="27" t="str">
        <f>"2031-2033"</f>
        <v>2031-2033</v>
      </c>
      <c r="BT113" s="11"/>
      <c r="BU113" s="11"/>
      <c r="BV113" s="11"/>
      <c r="BW113" s="11"/>
      <c r="BX113" s="11"/>
      <c r="BY113" s="11"/>
      <c r="BZ113" s="11"/>
      <c r="CA113" s="11"/>
      <c r="CB113" s="11"/>
      <c r="CC113" s="11"/>
      <c r="CD113" s="11"/>
      <c r="CE113" s="11"/>
      <c r="CF113" s="11"/>
      <c r="CG113" s="11"/>
      <c r="CH113" s="11"/>
      <c r="CI113" s="11"/>
      <c r="CJ113" s="11"/>
      <c r="CK113" s="11"/>
      <c r="CL113" s="11"/>
      <c r="CM113" s="11"/>
      <c r="CN113" s="11"/>
      <c r="CO113" s="11"/>
      <c r="CP113" s="11"/>
      <c r="CQ113" s="11"/>
      <c r="CR113" s="11"/>
      <c r="CS113" s="11"/>
      <c r="CT113" s="11"/>
      <c r="CU113" s="11"/>
      <c r="CV113" s="11"/>
      <c r="CW113" s="11"/>
      <c r="CX113" s="11"/>
      <c r="CY113" s="11"/>
      <c r="CZ113" s="11"/>
      <c r="DA113" s="11"/>
      <c r="DB113" s="11"/>
      <c r="DC113" s="11"/>
      <c r="DD113" s="11"/>
      <c r="DE113" s="11"/>
      <c r="DF113" s="11"/>
      <c r="DG113" s="11"/>
      <c r="DH113" s="11"/>
      <c r="DI113" s="11"/>
      <c r="DJ113" s="11"/>
      <c r="DK113" s="11"/>
      <c r="DL113" s="11"/>
      <c r="DM113" s="11"/>
      <c r="DN113" s="11"/>
      <c r="DO113" s="11"/>
    </row>
    <row r="114" spans="1:119" s="9" customFormat="1" ht="11.25" customHeight="1">
      <c r="A114" s="24" t="str">
        <f>"1.101"</f>
        <v>1.101</v>
      </c>
      <c r="B114" s="25" t="str">
        <f>"г. Кириллов, ул. Пролетарская, д.36"</f>
        <v>г. Кириллов, ул. Пролетарская, д.36</v>
      </c>
      <c r="C114" s="26" t="str">
        <f>"1991"</f>
        <v>1991</v>
      </c>
      <c r="D114" s="27" t="str">
        <f>""</f>
        <v/>
      </c>
      <c r="E114" s="27" t="str">
        <f>"80,00"</f>
        <v>80,00</v>
      </c>
      <c r="F114" s="27" t="str">
        <f>"2040-2042"</f>
        <v>2040-2042</v>
      </c>
      <c r="G114" s="27" t="str">
        <f t="shared" si="85"/>
        <v>да</v>
      </c>
      <c r="H114" s="27" t="str">
        <f>"2009"</f>
        <v>2009</v>
      </c>
      <c r="I114" s="27" t="str">
        <f>"25,00"</f>
        <v>25,00</v>
      </c>
      <c r="J114" s="27" t="str">
        <f>"2025-2027"</f>
        <v>2025-2027</v>
      </c>
      <c r="K114" s="27" t="str">
        <f t="shared" si="98"/>
        <v>нет</v>
      </c>
      <c r="L114" s="27" t="str">
        <f>""</f>
        <v/>
      </c>
      <c r="M114" s="27" t="str">
        <f>""</f>
        <v/>
      </c>
      <c r="N114" s="27" t="str">
        <f>""</f>
        <v/>
      </c>
      <c r="O114" s="28" t="str">
        <f>""</f>
        <v/>
      </c>
      <c r="P114" s="27" t="str">
        <f>"80,00"</f>
        <v>80,00</v>
      </c>
      <c r="Q114" s="27" t="str">
        <f>"2027-2029"</f>
        <v>2027-2029</v>
      </c>
      <c r="R114" s="27" t="str">
        <f t="shared" si="100"/>
        <v>да</v>
      </c>
      <c r="S114" s="27" t="str">
        <f>"2010"</f>
        <v>2010</v>
      </c>
      <c r="T114" s="27" t="str">
        <f>"19,00"</f>
        <v>19,00</v>
      </c>
      <c r="U114" s="27" t="str">
        <f>"2026-2028"</f>
        <v>2026-2028</v>
      </c>
      <c r="V114" s="27" t="str">
        <f t="shared" si="99"/>
        <v>нет</v>
      </c>
      <c r="W114" s="27" t="str">
        <f>""</f>
        <v/>
      </c>
      <c r="X114" s="27" t="str">
        <f>""</f>
        <v/>
      </c>
      <c r="Y114" s="29" t="str">
        <f>""</f>
        <v/>
      </c>
      <c r="Z114" s="27" t="str">
        <f t="shared" si="101"/>
        <v>х</v>
      </c>
      <c r="AA114" s="27" t="str">
        <f>"х"</f>
        <v>х</v>
      </c>
      <c r="AB114" s="27" t="str">
        <f>"х"</f>
        <v>х</v>
      </c>
      <c r="AC114" s="27" t="str">
        <f t="shared" si="96"/>
        <v>нет</v>
      </c>
      <c r="AD114" s="27" t="str">
        <f t="shared" si="87"/>
        <v>х</v>
      </c>
      <c r="AE114" s="27" t="str">
        <f t="shared" si="87"/>
        <v>х</v>
      </c>
      <c r="AF114" s="27" t="str">
        <f t="shared" si="87"/>
        <v>х</v>
      </c>
      <c r="AG114" s="27" t="str">
        <f t="shared" si="97"/>
        <v>нет</v>
      </c>
      <c r="AH114" s="27" t="str">
        <f t="shared" si="88"/>
        <v>х</v>
      </c>
      <c r="AI114" s="27" t="str">
        <f t="shared" si="88"/>
        <v>х</v>
      </c>
      <c r="AJ114" s="27" t="str">
        <f t="shared" si="88"/>
        <v>х</v>
      </c>
      <c r="AK114" s="28" t="str">
        <f>""</f>
        <v/>
      </c>
      <c r="AL114" s="27" t="str">
        <f>"73,00"</f>
        <v>73,00</v>
      </c>
      <c r="AM114" s="27" t="str">
        <f>"2029-2031"</f>
        <v>2029-2031</v>
      </c>
      <c r="AN114" s="30" t="str">
        <f>"да"</f>
        <v>да</v>
      </c>
      <c r="AO114" s="27" t="str">
        <f>"2010"</f>
        <v>2010</v>
      </c>
      <c r="AP114" s="27" t="str">
        <f>"50,00"</f>
        <v>50,00</v>
      </c>
      <c r="AQ114" s="27" t="str">
        <f>"2016-2018"</f>
        <v>2016-2018</v>
      </c>
      <c r="AR114" s="27" t="str">
        <f t="shared" si="93"/>
        <v>нет</v>
      </c>
      <c r="AS114" s="27" t="str">
        <f>""</f>
        <v/>
      </c>
      <c r="AT114" s="27" t="str">
        <f>""</f>
        <v/>
      </c>
      <c r="AU114" s="27" t="str">
        <f>""</f>
        <v/>
      </c>
      <c r="AV114" s="27" t="str">
        <f>""</f>
        <v/>
      </c>
      <c r="AW114" s="27" t="str">
        <f>"60,00"</f>
        <v>60,00</v>
      </c>
      <c r="AX114" s="27" t="str">
        <f>"2031-2033"</f>
        <v>2031-2033</v>
      </c>
      <c r="AY114" s="27" t="str">
        <f t="shared" si="94"/>
        <v>нет</v>
      </c>
      <c r="AZ114" s="27" t="str">
        <f>""</f>
        <v/>
      </c>
      <c r="BA114" s="27" t="str">
        <f>""</f>
        <v/>
      </c>
      <c r="BB114" s="27" t="str">
        <f>""</f>
        <v/>
      </c>
      <c r="BC114" s="27" t="str">
        <f t="shared" si="95"/>
        <v>нет</v>
      </c>
      <c r="BD114" s="27" t="str">
        <f>""</f>
        <v/>
      </c>
      <c r="BE114" s="27" t="str">
        <f>""</f>
        <v/>
      </c>
      <c r="BF114" s="27" t="str">
        <f>""</f>
        <v/>
      </c>
      <c r="BG114" s="27" t="str">
        <f>""</f>
        <v/>
      </c>
      <c r="BH114" s="27" t="str">
        <f>"60,00"</f>
        <v>60,00</v>
      </c>
      <c r="BI114" s="27" t="str">
        <f>"2037-2039"</f>
        <v>2037-2039</v>
      </c>
      <c r="BJ114" s="27" t="str">
        <f t="shared" si="102"/>
        <v>нет</v>
      </c>
      <c r="BK114" s="27" t="str">
        <f t="shared" si="92"/>
        <v>x</v>
      </c>
      <c r="BL114" s="27" t="str">
        <f>"40,00"</f>
        <v>40,00</v>
      </c>
      <c r="BM114" s="27" t="str">
        <f>"2032-2034"</f>
        <v>2032-2034</v>
      </c>
      <c r="BN114" s="27" t="str">
        <f>""</f>
        <v/>
      </c>
      <c r="BO114" s="27" t="str">
        <f>"40,00"</f>
        <v>40,00</v>
      </c>
      <c r="BP114" s="27" t="str">
        <f>"2027-2029"</f>
        <v>2027-2029</v>
      </c>
      <c r="BQ114" s="27" t="str">
        <f>""</f>
        <v/>
      </c>
      <c r="BR114" s="27" t="str">
        <f>"35,00"</f>
        <v>35,00</v>
      </c>
      <c r="BS114" s="27" t="str">
        <f>"2032-2034"</f>
        <v>2032-2034</v>
      </c>
      <c r="BT114" s="11"/>
      <c r="BU114" s="11"/>
      <c r="BV114" s="11"/>
      <c r="BW114" s="11"/>
      <c r="BX114" s="11"/>
      <c r="BY114" s="11"/>
      <c r="BZ114" s="11"/>
      <c r="CA114" s="11"/>
      <c r="CB114" s="11"/>
      <c r="CC114" s="11"/>
      <c r="CD114" s="11"/>
      <c r="CE114" s="11"/>
      <c r="CF114" s="11"/>
      <c r="CG114" s="11"/>
      <c r="CH114" s="11"/>
      <c r="CI114" s="11"/>
      <c r="CJ114" s="11"/>
      <c r="CK114" s="11"/>
      <c r="CL114" s="11"/>
      <c r="CM114" s="11"/>
      <c r="CN114" s="11"/>
      <c r="CO114" s="11"/>
      <c r="CP114" s="11"/>
      <c r="CQ114" s="11"/>
      <c r="CR114" s="11"/>
      <c r="CS114" s="11"/>
      <c r="CT114" s="11"/>
      <c r="CU114" s="11"/>
      <c r="CV114" s="11"/>
      <c r="CW114" s="11"/>
      <c r="CX114" s="11"/>
      <c r="CY114" s="11"/>
      <c r="CZ114" s="11"/>
      <c r="DA114" s="11"/>
      <c r="DB114" s="11"/>
      <c r="DC114" s="11"/>
      <c r="DD114" s="11"/>
      <c r="DE114" s="11"/>
      <c r="DF114" s="11"/>
      <c r="DG114" s="11"/>
      <c r="DH114" s="11"/>
      <c r="DI114" s="11"/>
      <c r="DJ114" s="11"/>
      <c r="DK114" s="11"/>
      <c r="DL114" s="11"/>
      <c r="DM114" s="11"/>
      <c r="DN114" s="11"/>
      <c r="DO114" s="11"/>
    </row>
    <row r="115" spans="1:119" s="9" customFormat="1" ht="11.25" customHeight="1">
      <c r="A115" s="24" t="str">
        <f>"1.102"</f>
        <v>1.102</v>
      </c>
      <c r="B115" s="25" t="str">
        <f>"г. Кириллов, ул. Пролетарская, д.7"</f>
        <v>г. Кириллов, ул. Пролетарская, д.7</v>
      </c>
      <c r="C115" s="26" t="str">
        <f>"1983"</f>
        <v>1983</v>
      </c>
      <c r="D115" s="27" t="str">
        <f>""</f>
        <v/>
      </c>
      <c r="E115" s="27" t="str">
        <f>"90,00"</f>
        <v>90,00</v>
      </c>
      <c r="F115" s="27" t="str">
        <f>"2019-2021"</f>
        <v>2019-2021</v>
      </c>
      <c r="G115" s="27" t="str">
        <f t="shared" si="85"/>
        <v>да</v>
      </c>
      <c r="H115" s="27" t="str">
        <f>"2009"</f>
        <v>2009</v>
      </c>
      <c r="I115" s="27" t="str">
        <f>"25,00"</f>
        <v>25,00</v>
      </c>
      <c r="J115" s="27" t="str">
        <f>"2025-2027"</f>
        <v>2025-2027</v>
      </c>
      <c r="K115" s="27" t="str">
        <f t="shared" si="98"/>
        <v>нет</v>
      </c>
      <c r="L115" s="27" t="str">
        <f>""</f>
        <v/>
      </c>
      <c r="M115" s="27" t="str">
        <f>""</f>
        <v/>
      </c>
      <c r="N115" s="27" t="str">
        <f>""</f>
        <v/>
      </c>
      <c r="O115" s="28" t="str">
        <f>"1985"</f>
        <v>1985</v>
      </c>
      <c r="P115" s="27" t="str">
        <f>"70,00"</f>
        <v>70,00</v>
      </c>
      <c r="Q115" s="27" t="str">
        <f>"2027-2029"</f>
        <v>2027-2029</v>
      </c>
      <c r="R115" s="27" t="str">
        <f t="shared" si="100"/>
        <v>да</v>
      </c>
      <c r="S115" s="27" t="str">
        <f>"2011"</f>
        <v>2011</v>
      </c>
      <c r="T115" s="27" t="str">
        <f>"12,00"</f>
        <v>12,00</v>
      </c>
      <c r="U115" s="27" t="str">
        <f>"2027-2029"</f>
        <v>2027-2029</v>
      </c>
      <c r="V115" s="27" t="str">
        <f t="shared" si="99"/>
        <v>нет</v>
      </c>
      <c r="W115" s="27" t="str">
        <f>""</f>
        <v/>
      </c>
      <c r="X115" s="27" t="str">
        <f>""</f>
        <v/>
      </c>
      <c r="Y115" s="29" t="str">
        <f>""</f>
        <v/>
      </c>
      <c r="Z115" s="27" t="str">
        <f t="shared" si="101"/>
        <v>х</v>
      </c>
      <c r="AA115" s="27" t="str">
        <f>"41,00"</f>
        <v>41,00</v>
      </c>
      <c r="AB115" s="27" t="str">
        <f>"2031-2033"</f>
        <v>2031-2033</v>
      </c>
      <c r="AC115" s="27" t="str">
        <f t="shared" si="96"/>
        <v>нет</v>
      </c>
      <c r="AD115" s="27" t="str">
        <f t="shared" si="87"/>
        <v>х</v>
      </c>
      <c r="AE115" s="27" t="str">
        <f t="shared" si="87"/>
        <v>х</v>
      </c>
      <c r="AF115" s="27" t="str">
        <f t="shared" si="87"/>
        <v>х</v>
      </c>
      <c r="AG115" s="27" t="str">
        <f t="shared" si="97"/>
        <v>нет</v>
      </c>
      <c r="AH115" s="27" t="str">
        <f t="shared" si="88"/>
        <v>х</v>
      </c>
      <c r="AI115" s="27" t="str">
        <f t="shared" si="88"/>
        <v>х</v>
      </c>
      <c r="AJ115" s="27" t="str">
        <f t="shared" si="88"/>
        <v>х</v>
      </c>
      <c r="AK115" s="28" t="str">
        <f>""</f>
        <v/>
      </c>
      <c r="AL115" s="27" t="str">
        <f>"80,00"</f>
        <v>80,00</v>
      </c>
      <c r="AM115" s="27" t="str">
        <f>"2016-2018"</f>
        <v>2016-2018</v>
      </c>
      <c r="AN115" s="30" t="str">
        <f t="shared" ref="AN115:AN121" si="103">"нет"</f>
        <v>нет</v>
      </c>
      <c r="AO115" s="27" t="str">
        <f>""</f>
        <v/>
      </c>
      <c r="AP115" s="27" t="str">
        <f>""</f>
        <v/>
      </c>
      <c r="AQ115" s="27" t="str">
        <f>""</f>
        <v/>
      </c>
      <c r="AR115" s="27" t="str">
        <f t="shared" si="93"/>
        <v>нет</v>
      </c>
      <c r="AS115" s="27" t="str">
        <f>""</f>
        <v/>
      </c>
      <c r="AT115" s="27" t="str">
        <f>""</f>
        <v/>
      </c>
      <c r="AU115" s="27" t="str">
        <f>""</f>
        <v/>
      </c>
      <c r="AV115" s="27" t="str">
        <f>""</f>
        <v/>
      </c>
      <c r="AW115" s="27" t="str">
        <f>"72,00"</f>
        <v>72,00</v>
      </c>
      <c r="AX115" s="27" t="str">
        <f>"2022-2024"</f>
        <v>2022-2024</v>
      </c>
      <c r="AY115" s="27" t="str">
        <f t="shared" si="94"/>
        <v>нет</v>
      </c>
      <c r="AZ115" s="27" t="str">
        <f>""</f>
        <v/>
      </c>
      <c r="BA115" s="27" t="str">
        <f>""</f>
        <v/>
      </c>
      <c r="BB115" s="27" t="str">
        <f>""</f>
        <v/>
      </c>
      <c r="BC115" s="27" t="str">
        <f t="shared" si="95"/>
        <v>нет</v>
      </c>
      <c r="BD115" s="27" t="str">
        <f>""</f>
        <v/>
      </c>
      <c r="BE115" s="27" t="str">
        <f>""</f>
        <v/>
      </c>
      <c r="BF115" s="27" t="str">
        <f>""</f>
        <v/>
      </c>
      <c r="BG115" s="27" t="str">
        <f>""</f>
        <v/>
      </c>
      <c r="BH115" s="27" t="str">
        <f>"70,00"</f>
        <v>70,00</v>
      </c>
      <c r="BI115" s="27" t="str">
        <f>"2017-2019"</f>
        <v>2017-2019</v>
      </c>
      <c r="BJ115" s="27" t="str">
        <f t="shared" si="102"/>
        <v>нет</v>
      </c>
      <c r="BK115" s="27" t="str">
        <f t="shared" si="92"/>
        <v>x</v>
      </c>
      <c r="BL115" s="27" t="str">
        <f>"60,00"</f>
        <v>60,00</v>
      </c>
      <c r="BM115" s="27" t="str">
        <f>"2028-2030"</f>
        <v>2028-2030</v>
      </c>
      <c r="BN115" s="27" t="str">
        <f>""</f>
        <v/>
      </c>
      <c r="BO115" s="27" t="str">
        <f>"60,00"</f>
        <v>60,00</v>
      </c>
      <c r="BP115" s="27" t="str">
        <f>"2024-2026"</f>
        <v>2024-2026</v>
      </c>
      <c r="BQ115" s="27" t="str">
        <f>""</f>
        <v/>
      </c>
      <c r="BR115" s="27" t="str">
        <f>"60,00"</f>
        <v>60,00</v>
      </c>
      <c r="BS115" s="27" t="str">
        <f>"2028-2030"</f>
        <v>2028-2030</v>
      </c>
      <c r="BT115" s="11"/>
      <c r="BU115" s="11"/>
      <c r="BV115" s="11"/>
      <c r="BW115" s="11"/>
      <c r="BX115" s="11"/>
      <c r="BY115" s="11"/>
      <c r="BZ115" s="11"/>
      <c r="CA115" s="11"/>
      <c r="CB115" s="11"/>
      <c r="CC115" s="11"/>
      <c r="CD115" s="11"/>
      <c r="CE115" s="11"/>
      <c r="CF115" s="11"/>
      <c r="CG115" s="11"/>
      <c r="CH115" s="11"/>
      <c r="CI115" s="11"/>
      <c r="CJ115" s="11"/>
      <c r="CK115" s="11"/>
      <c r="CL115" s="11"/>
      <c r="CM115" s="11"/>
      <c r="CN115" s="11"/>
      <c r="CO115" s="11"/>
      <c r="CP115" s="11"/>
      <c r="CQ115" s="11"/>
      <c r="CR115" s="11"/>
      <c r="CS115" s="11"/>
      <c r="CT115" s="11"/>
      <c r="CU115" s="11"/>
      <c r="CV115" s="11"/>
      <c r="CW115" s="11"/>
      <c r="CX115" s="11"/>
      <c r="CY115" s="11"/>
      <c r="CZ115" s="11"/>
      <c r="DA115" s="11"/>
      <c r="DB115" s="11"/>
      <c r="DC115" s="11"/>
      <c r="DD115" s="11"/>
      <c r="DE115" s="11"/>
      <c r="DF115" s="11"/>
      <c r="DG115" s="11"/>
      <c r="DH115" s="11"/>
      <c r="DI115" s="11"/>
      <c r="DJ115" s="11"/>
      <c r="DK115" s="11"/>
      <c r="DL115" s="11"/>
      <c r="DM115" s="11"/>
      <c r="DN115" s="11"/>
      <c r="DO115" s="11"/>
    </row>
    <row r="116" spans="1:119" s="10" customFormat="1" ht="11.25" customHeight="1">
      <c r="A116" s="24" t="str">
        <f>"1.103"</f>
        <v>1.103</v>
      </c>
      <c r="B116" s="25" t="str">
        <f>"г. Кириллов, ул. Пролетарская, д.8"</f>
        <v>г. Кириллов, ул. Пролетарская, д.8</v>
      </c>
      <c r="C116" s="26" t="str">
        <f>"1917"</f>
        <v>1917</v>
      </c>
      <c r="D116" s="27" t="str">
        <f>"1974"</f>
        <v>1974</v>
      </c>
      <c r="E116" s="27" t="str">
        <f>"90,00"</f>
        <v>90,00</v>
      </c>
      <c r="F116" s="27" t="str">
        <f>"2019-2021"</f>
        <v>2019-2021</v>
      </c>
      <c r="G116" s="27" t="str">
        <f t="shared" si="85"/>
        <v>да</v>
      </c>
      <c r="H116" s="27" t="str">
        <f>"2011"</f>
        <v>2011</v>
      </c>
      <c r="I116" s="27" t="str">
        <f>"13,00"</f>
        <v>13,00</v>
      </c>
      <c r="J116" s="27" t="str">
        <f>"2027-2029"</f>
        <v>2027-2029</v>
      </c>
      <c r="K116" s="27" t="str">
        <f t="shared" si="98"/>
        <v>нет</v>
      </c>
      <c r="L116" s="27" t="str">
        <f>""</f>
        <v/>
      </c>
      <c r="M116" s="27" t="str">
        <f>""</f>
        <v/>
      </c>
      <c r="N116" s="27" t="str">
        <f>""</f>
        <v/>
      </c>
      <c r="O116" s="28" t="str">
        <f>""</f>
        <v/>
      </c>
      <c r="P116" s="27" t="str">
        <f>""</f>
        <v/>
      </c>
      <c r="Q116" s="27" t="str">
        <f>""</f>
        <v/>
      </c>
      <c r="R116" s="27" t="str">
        <f>"нет"</f>
        <v>нет</v>
      </c>
      <c r="S116" s="27" t="str">
        <f>""</f>
        <v/>
      </c>
      <c r="T116" s="27" t="str">
        <f>""</f>
        <v/>
      </c>
      <c r="U116" s="27" t="str">
        <f>""</f>
        <v/>
      </c>
      <c r="V116" s="27" t="str">
        <f t="shared" si="99"/>
        <v>нет</v>
      </c>
      <c r="W116" s="27" t="str">
        <f>""</f>
        <v/>
      </c>
      <c r="X116" s="27" t="str">
        <f>""</f>
        <v/>
      </c>
      <c r="Y116" s="29" t="str">
        <f>""</f>
        <v/>
      </c>
      <c r="Z116" s="27" t="str">
        <f t="shared" si="101"/>
        <v>х</v>
      </c>
      <c r="AA116" s="27" t="str">
        <f>"х"</f>
        <v>х</v>
      </c>
      <c r="AB116" s="27" t="str">
        <f>"х"</f>
        <v>х</v>
      </c>
      <c r="AC116" s="27" t="str">
        <f t="shared" si="96"/>
        <v>нет</v>
      </c>
      <c r="AD116" s="27" t="str">
        <f t="shared" ref="AD116:AF135" si="104">"х"</f>
        <v>х</v>
      </c>
      <c r="AE116" s="27" t="str">
        <f t="shared" si="104"/>
        <v>х</v>
      </c>
      <c r="AF116" s="27" t="str">
        <f t="shared" si="104"/>
        <v>х</v>
      </c>
      <c r="AG116" s="27" t="str">
        <f t="shared" si="97"/>
        <v>нет</v>
      </c>
      <c r="AH116" s="27" t="str">
        <f t="shared" ref="AH116:AJ135" si="105">"х"</f>
        <v>х</v>
      </c>
      <c r="AI116" s="27" t="str">
        <f t="shared" si="105"/>
        <v>х</v>
      </c>
      <c r="AJ116" s="27" t="str">
        <f t="shared" si="105"/>
        <v>х</v>
      </c>
      <c r="AK116" s="28" t="str">
        <f>"2007"</f>
        <v>2007</v>
      </c>
      <c r="AL116" s="27" t="str">
        <f>"20,00"</f>
        <v>20,00</v>
      </c>
      <c r="AM116" s="27" t="str">
        <f>"2037-2039"</f>
        <v>2037-2039</v>
      </c>
      <c r="AN116" s="30" t="str">
        <f t="shared" si="103"/>
        <v>нет</v>
      </c>
      <c r="AO116" s="27" t="str">
        <f>""</f>
        <v/>
      </c>
      <c r="AP116" s="27" t="str">
        <f>""</f>
        <v/>
      </c>
      <c r="AQ116" s="27" t="str">
        <f>""</f>
        <v/>
      </c>
      <c r="AR116" s="27" t="str">
        <f t="shared" si="93"/>
        <v>нет</v>
      </c>
      <c r="AS116" s="27" t="str">
        <f>""</f>
        <v/>
      </c>
      <c r="AT116" s="27" t="str">
        <f>""</f>
        <v/>
      </c>
      <c r="AU116" s="27" t="str">
        <f>""</f>
        <v/>
      </c>
      <c r="AV116" s="27" t="str">
        <f>"2007"</f>
        <v>2007</v>
      </c>
      <c r="AW116" s="27" t="str">
        <f>"12,00"</f>
        <v>12,00</v>
      </c>
      <c r="AX116" s="27" t="str">
        <f>"2045-2047"</f>
        <v>2045-2047</v>
      </c>
      <c r="AY116" s="27" t="str">
        <f t="shared" si="94"/>
        <v>нет</v>
      </c>
      <c r="AZ116" s="27" t="str">
        <f>""</f>
        <v/>
      </c>
      <c r="BA116" s="27" t="str">
        <f>""</f>
        <v/>
      </c>
      <c r="BB116" s="27" t="str">
        <f>""</f>
        <v/>
      </c>
      <c r="BC116" s="27" t="str">
        <f t="shared" si="95"/>
        <v>нет</v>
      </c>
      <c r="BD116" s="27" t="str">
        <f>""</f>
        <v/>
      </c>
      <c r="BE116" s="27" t="str">
        <f>""</f>
        <v/>
      </c>
      <c r="BF116" s="27" t="str">
        <f>""</f>
        <v/>
      </c>
      <c r="BG116" s="27" t="str">
        <f>""</f>
        <v/>
      </c>
      <c r="BH116" s="27" t="str">
        <f>"65,00"</f>
        <v>65,00</v>
      </c>
      <c r="BI116" s="27" t="str">
        <f>"2019-2021"</f>
        <v>2019-2021</v>
      </c>
      <c r="BJ116" s="27" t="str">
        <f t="shared" si="102"/>
        <v>нет</v>
      </c>
      <c r="BK116" s="27" t="str">
        <f t="shared" si="92"/>
        <v>x</v>
      </c>
      <c r="BL116" s="27" t="str">
        <f>"65,00"</f>
        <v>65,00</v>
      </c>
      <c r="BM116" s="27" t="str">
        <f>"2015-2017"</f>
        <v>2015-2017</v>
      </c>
      <c r="BN116" s="27" t="str">
        <f>""</f>
        <v/>
      </c>
      <c r="BO116" s="27" t="str">
        <f>"65,00"</f>
        <v>65,00</v>
      </c>
      <c r="BP116" s="27" t="str">
        <f>"2032-2034"</f>
        <v>2032-2034</v>
      </c>
      <c r="BQ116" s="27" t="str">
        <f>""</f>
        <v/>
      </c>
      <c r="BR116" s="27" t="str">
        <f>"65,00"</f>
        <v>65,00</v>
      </c>
      <c r="BS116" s="27" t="str">
        <f>"2015-2017"</f>
        <v>2015-2017</v>
      </c>
      <c r="BT116" s="11"/>
      <c r="BU116" s="11"/>
      <c r="BV116" s="11"/>
      <c r="BW116" s="11"/>
      <c r="BX116" s="11"/>
      <c r="BY116" s="11"/>
      <c r="BZ116" s="11"/>
      <c r="CA116" s="11"/>
      <c r="CB116" s="11"/>
      <c r="CC116" s="11"/>
      <c r="CD116" s="11"/>
      <c r="CE116" s="11"/>
      <c r="CF116" s="11"/>
      <c r="CG116" s="11"/>
      <c r="CH116" s="11"/>
      <c r="CI116" s="11"/>
      <c r="CJ116" s="11"/>
      <c r="CK116" s="11"/>
      <c r="CL116" s="11"/>
      <c r="CM116" s="11"/>
      <c r="CN116" s="11"/>
      <c r="CO116" s="11"/>
      <c r="CP116" s="11"/>
      <c r="CQ116" s="11"/>
      <c r="CR116" s="11"/>
      <c r="CS116" s="11"/>
      <c r="CT116" s="11"/>
      <c r="CU116" s="11"/>
      <c r="CV116" s="11"/>
      <c r="CW116" s="11"/>
      <c r="CX116" s="11"/>
      <c r="CY116" s="11"/>
      <c r="CZ116" s="11"/>
      <c r="DA116" s="11"/>
      <c r="DB116" s="11"/>
      <c r="DC116" s="11"/>
      <c r="DD116" s="11"/>
      <c r="DE116" s="11"/>
      <c r="DF116" s="11"/>
      <c r="DG116" s="11"/>
      <c r="DH116" s="11"/>
      <c r="DI116" s="11"/>
      <c r="DJ116" s="11"/>
      <c r="DK116" s="11"/>
      <c r="DL116" s="11"/>
      <c r="DM116" s="11"/>
      <c r="DN116" s="11"/>
      <c r="DO116" s="11"/>
    </row>
    <row r="117" spans="1:119" s="10" customFormat="1" ht="11.25" customHeight="1">
      <c r="A117" s="24" t="str">
        <f>"1.104"</f>
        <v>1.104</v>
      </c>
      <c r="B117" s="25" t="str">
        <f>"г. Кириллов, ул. Пролетарская, д.9"</f>
        <v>г. Кириллов, ул. Пролетарская, д.9</v>
      </c>
      <c r="C117" s="26" t="str">
        <f>"1981"</f>
        <v>1981</v>
      </c>
      <c r="D117" s="27" t="str">
        <f>"1981"</f>
        <v>1981</v>
      </c>
      <c r="E117" s="27" t="str">
        <f>"80,00"</f>
        <v>80,00</v>
      </c>
      <c r="F117" s="27" t="str">
        <f>"2040-2042"</f>
        <v>2040-2042</v>
      </c>
      <c r="G117" s="27" t="str">
        <f t="shared" si="85"/>
        <v>да</v>
      </c>
      <c r="H117" s="27" t="str">
        <f>"2010"</f>
        <v>2010</v>
      </c>
      <c r="I117" s="27" t="str">
        <f>"19,00"</f>
        <v>19,00</v>
      </c>
      <c r="J117" s="27" t="str">
        <f>"2026-2028"</f>
        <v>2026-2028</v>
      </c>
      <c r="K117" s="27" t="str">
        <f t="shared" si="98"/>
        <v>нет</v>
      </c>
      <c r="L117" s="27" t="str">
        <f>""</f>
        <v/>
      </c>
      <c r="M117" s="27" t="str">
        <f>""</f>
        <v/>
      </c>
      <c r="N117" s="27" t="str">
        <f>""</f>
        <v/>
      </c>
      <c r="O117" s="28" t="str">
        <f>""</f>
        <v/>
      </c>
      <c r="P117" s="27" t="str">
        <f>"80,00"</f>
        <v>80,00</v>
      </c>
      <c r="Q117" s="27" t="str">
        <f>"2016-2018"</f>
        <v>2016-2018</v>
      </c>
      <c r="R117" s="27" t="str">
        <f>"да"</f>
        <v>да</v>
      </c>
      <c r="S117" s="27" t="str">
        <f>"2012"</f>
        <v>2012</v>
      </c>
      <c r="T117" s="27" t="str">
        <f>"6,00"</f>
        <v>6,00</v>
      </c>
      <c r="U117" s="27" t="str">
        <f>"2028-2030"</f>
        <v>2028-2030</v>
      </c>
      <c r="V117" s="27" t="str">
        <f t="shared" si="99"/>
        <v>нет</v>
      </c>
      <c r="W117" s="27" t="str">
        <f>""</f>
        <v/>
      </c>
      <c r="X117" s="27" t="str">
        <f>""</f>
        <v/>
      </c>
      <c r="Y117" s="29" t="str">
        <f>""</f>
        <v/>
      </c>
      <c r="Z117" s="27" t="str">
        <f t="shared" si="101"/>
        <v>х</v>
      </c>
      <c r="AA117" s="27" t="str">
        <f>"56,00"</f>
        <v>56,00</v>
      </c>
      <c r="AB117" s="27" t="str">
        <f>"2026-2028"</f>
        <v>2026-2028</v>
      </c>
      <c r="AC117" s="27" t="str">
        <f t="shared" si="96"/>
        <v>нет</v>
      </c>
      <c r="AD117" s="27" t="str">
        <f t="shared" si="104"/>
        <v>х</v>
      </c>
      <c r="AE117" s="27" t="str">
        <f t="shared" si="104"/>
        <v>х</v>
      </c>
      <c r="AF117" s="27" t="str">
        <f t="shared" si="104"/>
        <v>х</v>
      </c>
      <c r="AG117" s="27" t="str">
        <f t="shared" si="97"/>
        <v>нет</v>
      </c>
      <c r="AH117" s="27" t="str">
        <f t="shared" si="105"/>
        <v>х</v>
      </c>
      <c r="AI117" s="27" t="str">
        <f t="shared" si="105"/>
        <v>х</v>
      </c>
      <c r="AJ117" s="27" t="str">
        <f t="shared" si="105"/>
        <v>х</v>
      </c>
      <c r="AK117" s="28" t="str">
        <f>""</f>
        <v/>
      </c>
      <c r="AL117" s="27" t="str">
        <f>"90,00"</f>
        <v>90,00</v>
      </c>
      <c r="AM117" s="27" t="str">
        <f>"2028-2030"</f>
        <v>2028-2030</v>
      </c>
      <c r="AN117" s="30" t="str">
        <f t="shared" si="103"/>
        <v>нет</v>
      </c>
      <c r="AO117" s="27" t="str">
        <f>""</f>
        <v/>
      </c>
      <c r="AP117" s="27" t="str">
        <f>""</f>
        <v/>
      </c>
      <c r="AQ117" s="27" t="str">
        <f>""</f>
        <v/>
      </c>
      <c r="AR117" s="27" t="str">
        <f t="shared" si="93"/>
        <v>нет</v>
      </c>
      <c r="AS117" s="27" t="str">
        <f>""</f>
        <v/>
      </c>
      <c r="AT117" s="27" t="str">
        <f>""</f>
        <v/>
      </c>
      <c r="AU117" s="27" t="str">
        <f>""</f>
        <v/>
      </c>
      <c r="AV117" s="27" t="str">
        <f>""</f>
        <v/>
      </c>
      <c r="AW117" s="27" t="str">
        <f>"60,00"</f>
        <v>60,00</v>
      </c>
      <c r="AX117" s="27" t="str">
        <f>"2023-2025"</f>
        <v>2023-2025</v>
      </c>
      <c r="AY117" s="27" t="str">
        <f t="shared" si="94"/>
        <v>нет</v>
      </c>
      <c r="AZ117" s="27" t="str">
        <f>""</f>
        <v/>
      </c>
      <c r="BA117" s="27" t="str">
        <f>""</f>
        <v/>
      </c>
      <c r="BB117" s="27" t="str">
        <f>""</f>
        <v/>
      </c>
      <c r="BC117" s="27" t="str">
        <f t="shared" si="95"/>
        <v>нет</v>
      </c>
      <c r="BD117" s="27" t="str">
        <f>""</f>
        <v/>
      </c>
      <c r="BE117" s="27" t="str">
        <f>""</f>
        <v/>
      </c>
      <c r="BF117" s="27" t="str">
        <f>""</f>
        <v/>
      </c>
      <c r="BG117" s="27" t="str">
        <f>""</f>
        <v/>
      </c>
      <c r="BH117" s="27" t="str">
        <f>"75,00"</f>
        <v>75,00</v>
      </c>
      <c r="BI117" s="27" t="str">
        <f>"2025-2027"</f>
        <v>2025-2027</v>
      </c>
      <c r="BJ117" s="27" t="str">
        <f t="shared" si="102"/>
        <v>нет</v>
      </c>
      <c r="BK117" s="27" t="str">
        <f t="shared" si="92"/>
        <v>x</v>
      </c>
      <c r="BL117" s="27" t="str">
        <f>"60,00"</f>
        <v>60,00</v>
      </c>
      <c r="BM117" s="27" t="str">
        <f>"2029-2031"</f>
        <v>2029-2031</v>
      </c>
      <c r="BN117" s="27" t="str">
        <f>""</f>
        <v/>
      </c>
      <c r="BO117" s="27" t="str">
        <f>"60,00"</f>
        <v>60,00</v>
      </c>
      <c r="BP117" s="27" t="str">
        <f>"2026-2028"</f>
        <v>2026-2028</v>
      </c>
      <c r="BQ117" s="27" t="str">
        <f>""</f>
        <v/>
      </c>
      <c r="BR117" s="27" t="str">
        <f>"60,00"</f>
        <v>60,00</v>
      </c>
      <c r="BS117" s="27" t="str">
        <f>"2029-2031"</f>
        <v>2029-2031</v>
      </c>
      <c r="BT117" s="11"/>
      <c r="BU117" s="11"/>
      <c r="BV117" s="11"/>
      <c r="BW117" s="11"/>
      <c r="BX117" s="11"/>
      <c r="BY117" s="11"/>
      <c r="BZ117" s="11"/>
      <c r="CA117" s="11"/>
      <c r="CB117" s="11"/>
      <c r="CC117" s="11"/>
      <c r="CD117" s="11"/>
      <c r="CE117" s="11"/>
      <c r="CF117" s="11"/>
      <c r="CG117" s="11"/>
      <c r="CH117" s="11"/>
      <c r="CI117" s="11"/>
      <c r="CJ117" s="11"/>
      <c r="CK117" s="11"/>
      <c r="CL117" s="11"/>
      <c r="CM117" s="11"/>
      <c r="CN117" s="11"/>
      <c r="CO117" s="11"/>
      <c r="CP117" s="11"/>
      <c r="CQ117" s="11"/>
      <c r="CR117" s="11"/>
      <c r="CS117" s="11"/>
      <c r="CT117" s="11"/>
      <c r="CU117" s="11"/>
      <c r="CV117" s="11"/>
      <c r="CW117" s="11"/>
      <c r="CX117" s="11"/>
      <c r="CY117" s="11"/>
      <c r="CZ117" s="11"/>
      <c r="DA117" s="11"/>
      <c r="DB117" s="11"/>
      <c r="DC117" s="11"/>
      <c r="DD117" s="11"/>
      <c r="DE117" s="11"/>
      <c r="DF117" s="11"/>
      <c r="DG117" s="11"/>
      <c r="DH117" s="11"/>
      <c r="DI117" s="11"/>
      <c r="DJ117" s="11"/>
      <c r="DK117" s="11"/>
      <c r="DL117" s="11"/>
      <c r="DM117" s="11"/>
      <c r="DN117" s="11"/>
      <c r="DO117" s="11"/>
    </row>
    <row r="118" spans="1:119" s="9" customFormat="1" ht="11.25" customHeight="1">
      <c r="A118" s="24" t="str">
        <f>"1.105"</f>
        <v>1.105</v>
      </c>
      <c r="B118" s="25" t="str">
        <f>"г. Кириллов, ул. Революционная, д.12"</f>
        <v>г. Кириллов, ул. Революционная, д.12</v>
      </c>
      <c r="C118" s="26" t="str">
        <f>"1972"</f>
        <v>1972</v>
      </c>
      <c r="D118" s="27" t="str">
        <f>"1972"</f>
        <v>1972</v>
      </c>
      <c r="E118" s="27" t="str">
        <f>"90,00"</f>
        <v>90,00</v>
      </c>
      <c r="F118" s="27" t="str">
        <f>"2020-2022"</f>
        <v>2020-2022</v>
      </c>
      <c r="G118" s="27" t="str">
        <f t="shared" si="85"/>
        <v>да</v>
      </c>
      <c r="H118" s="27" t="str">
        <f>"2010"</f>
        <v>2010</v>
      </c>
      <c r="I118" s="27" t="str">
        <f>"19,00"</f>
        <v>19,00</v>
      </c>
      <c r="J118" s="27" t="str">
        <f>"2026-2028"</f>
        <v>2026-2028</v>
      </c>
      <c r="K118" s="27" t="str">
        <f t="shared" si="98"/>
        <v>нет</v>
      </c>
      <c r="L118" s="27" t="str">
        <f>""</f>
        <v/>
      </c>
      <c r="M118" s="27" t="str">
        <f>""</f>
        <v/>
      </c>
      <c r="N118" s="27" t="str">
        <f>""</f>
        <v/>
      </c>
      <c r="O118" s="28" t="str">
        <f>""</f>
        <v/>
      </c>
      <c r="P118" s="27" t="str">
        <f>""</f>
        <v/>
      </c>
      <c r="Q118" s="27" t="str">
        <f>""</f>
        <v/>
      </c>
      <c r="R118" s="27" t="str">
        <f>"нет"</f>
        <v>нет</v>
      </c>
      <c r="S118" s="27" t="str">
        <f>""</f>
        <v/>
      </c>
      <c r="T118" s="27" t="str">
        <f>""</f>
        <v/>
      </c>
      <c r="U118" s="27" t="str">
        <f>""</f>
        <v/>
      </c>
      <c r="V118" s="27" t="str">
        <f t="shared" si="99"/>
        <v>нет</v>
      </c>
      <c r="W118" s="27" t="str">
        <f>""</f>
        <v/>
      </c>
      <c r="X118" s="27" t="str">
        <f>""</f>
        <v/>
      </c>
      <c r="Y118" s="29" t="str">
        <f>""</f>
        <v/>
      </c>
      <c r="Z118" s="27" t="str">
        <f t="shared" si="101"/>
        <v>х</v>
      </c>
      <c r="AA118" s="27" t="str">
        <f t="shared" ref="AA118:AB120" si="106">"х"</f>
        <v>х</v>
      </c>
      <c r="AB118" s="27" t="str">
        <f t="shared" si="106"/>
        <v>х</v>
      </c>
      <c r="AC118" s="27" t="str">
        <f t="shared" si="96"/>
        <v>нет</v>
      </c>
      <c r="AD118" s="27" t="str">
        <f t="shared" si="104"/>
        <v>х</v>
      </c>
      <c r="AE118" s="27" t="str">
        <f t="shared" si="104"/>
        <v>х</v>
      </c>
      <c r="AF118" s="27" t="str">
        <f t="shared" si="104"/>
        <v>х</v>
      </c>
      <c r="AG118" s="27" t="str">
        <f t="shared" si="97"/>
        <v>нет</v>
      </c>
      <c r="AH118" s="27" t="str">
        <f t="shared" si="105"/>
        <v>х</v>
      </c>
      <c r="AI118" s="27" t="str">
        <f t="shared" si="105"/>
        <v>х</v>
      </c>
      <c r="AJ118" s="27" t="str">
        <f t="shared" si="105"/>
        <v>х</v>
      </c>
      <c r="AK118" s="28" t="str">
        <f>"2009"</f>
        <v>2009</v>
      </c>
      <c r="AL118" s="27" t="str">
        <f>"13,00"</f>
        <v>13,00</v>
      </c>
      <c r="AM118" s="27" t="str">
        <f>"2044-2046"</f>
        <v>2044-2046</v>
      </c>
      <c r="AN118" s="30" t="str">
        <f t="shared" si="103"/>
        <v>нет</v>
      </c>
      <c r="AO118" s="27" t="str">
        <f>""</f>
        <v/>
      </c>
      <c r="AP118" s="27" t="str">
        <f>""</f>
        <v/>
      </c>
      <c r="AQ118" s="27" t="str">
        <f>""</f>
        <v/>
      </c>
      <c r="AR118" s="27" t="str">
        <f t="shared" si="93"/>
        <v>нет</v>
      </c>
      <c r="AS118" s="27" t="str">
        <f>""</f>
        <v/>
      </c>
      <c r="AT118" s="27" t="str">
        <f>""</f>
        <v/>
      </c>
      <c r="AU118" s="27" t="str">
        <f>""</f>
        <v/>
      </c>
      <c r="AV118" s="27" t="str">
        <f>"2009"</f>
        <v>2009</v>
      </c>
      <c r="AW118" s="27" t="str">
        <f>"8,00"</f>
        <v>8,00</v>
      </c>
      <c r="AX118" s="27" t="str">
        <f>"2045-2047"</f>
        <v>2045-2047</v>
      </c>
      <c r="AY118" s="27" t="str">
        <f t="shared" si="94"/>
        <v>нет</v>
      </c>
      <c r="AZ118" s="27" t="str">
        <f>""</f>
        <v/>
      </c>
      <c r="BA118" s="27" t="str">
        <f>""</f>
        <v/>
      </c>
      <c r="BB118" s="27" t="str">
        <f>""</f>
        <v/>
      </c>
      <c r="BC118" s="27" t="str">
        <f t="shared" si="95"/>
        <v>нет</v>
      </c>
      <c r="BD118" s="27" t="str">
        <f>""</f>
        <v/>
      </c>
      <c r="BE118" s="27" t="str">
        <f>""</f>
        <v/>
      </c>
      <c r="BF118" s="27" t="str">
        <f>""</f>
        <v/>
      </c>
      <c r="BG118" s="27" t="str">
        <f>"2008"</f>
        <v>2008</v>
      </c>
      <c r="BH118" s="27" t="str">
        <f>"33,00"</f>
        <v>33,00</v>
      </c>
      <c r="BI118" s="27" t="str">
        <f>"2028-2030"</f>
        <v>2028-2030</v>
      </c>
      <c r="BJ118" s="27" t="str">
        <f t="shared" si="102"/>
        <v>нет</v>
      </c>
      <c r="BK118" s="27" t="str">
        <f t="shared" si="92"/>
        <v>x</v>
      </c>
      <c r="BL118" s="27" t="str">
        <f>"60,00"</f>
        <v>60,00</v>
      </c>
      <c r="BM118" s="27" t="str">
        <f>"2023-2025"</f>
        <v>2023-2025</v>
      </c>
      <c r="BN118" s="27" t="str">
        <f>""</f>
        <v/>
      </c>
      <c r="BO118" s="27" t="str">
        <f>"65,00"</f>
        <v>65,00</v>
      </c>
      <c r="BP118" s="27" t="str">
        <f>"2034-2036"</f>
        <v>2034-2036</v>
      </c>
      <c r="BQ118" s="27" t="str">
        <f>""</f>
        <v/>
      </c>
      <c r="BR118" s="27" t="str">
        <f>"60,00"</f>
        <v>60,00</v>
      </c>
      <c r="BS118" s="27" t="str">
        <f>"2023-2025"</f>
        <v>2023-2025</v>
      </c>
      <c r="BT118" s="11"/>
      <c r="BU118" s="11"/>
      <c r="BV118" s="11"/>
      <c r="BW118" s="11"/>
      <c r="BX118" s="11"/>
      <c r="BY118" s="11"/>
      <c r="BZ118" s="11"/>
      <c r="CA118" s="11"/>
      <c r="CB118" s="11"/>
      <c r="CC118" s="11"/>
      <c r="CD118" s="11"/>
      <c r="CE118" s="11"/>
      <c r="CF118" s="11"/>
      <c r="CG118" s="11"/>
      <c r="CH118" s="11"/>
      <c r="CI118" s="11"/>
      <c r="CJ118" s="11"/>
      <c r="CK118" s="11"/>
      <c r="CL118" s="11"/>
      <c r="CM118" s="11"/>
      <c r="CN118" s="11"/>
      <c r="CO118" s="11"/>
      <c r="CP118" s="11"/>
      <c r="CQ118" s="11"/>
      <c r="CR118" s="11"/>
      <c r="CS118" s="11"/>
      <c r="CT118" s="11"/>
      <c r="CU118" s="11"/>
      <c r="CV118" s="11"/>
      <c r="CW118" s="11"/>
      <c r="CX118" s="11"/>
      <c r="CY118" s="11"/>
      <c r="CZ118" s="11"/>
      <c r="DA118" s="11"/>
      <c r="DB118" s="11"/>
      <c r="DC118" s="11"/>
      <c r="DD118" s="11"/>
      <c r="DE118" s="11"/>
      <c r="DF118" s="11"/>
      <c r="DG118" s="11"/>
      <c r="DH118" s="11"/>
      <c r="DI118" s="11"/>
      <c r="DJ118" s="11"/>
      <c r="DK118" s="11"/>
      <c r="DL118" s="11"/>
      <c r="DM118" s="11"/>
      <c r="DN118" s="11"/>
      <c r="DO118" s="11"/>
    </row>
    <row r="119" spans="1:119" s="9" customFormat="1" ht="11.25" customHeight="1">
      <c r="A119" s="24" t="str">
        <f>"1.106"</f>
        <v>1.106</v>
      </c>
      <c r="B119" s="25" t="str">
        <f>"г. Кириллов, ул. Революционная, д.12А"</f>
        <v>г. Кириллов, ул. Революционная, д.12А</v>
      </c>
      <c r="C119" s="26" t="str">
        <f>"1969"</f>
        <v>1969</v>
      </c>
      <c r="D119" s="27" t="str">
        <f>""</f>
        <v/>
      </c>
      <c r="E119" s="27" t="str">
        <f>"90,00"</f>
        <v>90,00</v>
      </c>
      <c r="F119" s="27" t="str">
        <f>"2021-2023"</f>
        <v>2021-2023</v>
      </c>
      <c r="G119" s="27" t="str">
        <f t="shared" si="85"/>
        <v>да</v>
      </c>
      <c r="H119" s="27" t="str">
        <f>"2009"</f>
        <v>2009</v>
      </c>
      <c r="I119" s="27" t="str">
        <f>"25,00"</f>
        <v>25,00</v>
      </c>
      <c r="J119" s="27" t="str">
        <f>"2025-2027"</f>
        <v>2025-2027</v>
      </c>
      <c r="K119" s="27" t="str">
        <f t="shared" si="98"/>
        <v>нет</v>
      </c>
      <c r="L119" s="27" t="str">
        <f>""</f>
        <v/>
      </c>
      <c r="M119" s="27" t="str">
        <f>""</f>
        <v/>
      </c>
      <c r="N119" s="27" t="str">
        <f>""</f>
        <v/>
      </c>
      <c r="O119" s="28" t="str">
        <f>""</f>
        <v/>
      </c>
      <c r="P119" s="27" t="str">
        <f>""</f>
        <v/>
      </c>
      <c r="Q119" s="27" t="str">
        <f>""</f>
        <v/>
      </c>
      <c r="R119" s="27" t="str">
        <f>"нет"</f>
        <v>нет</v>
      </c>
      <c r="S119" s="27" t="str">
        <f>""</f>
        <v/>
      </c>
      <c r="T119" s="27" t="str">
        <f>""</f>
        <v/>
      </c>
      <c r="U119" s="27" t="str">
        <f>""</f>
        <v/>
      </c>
      <c r="V119" s="27" t="str">
        <f t="shared" si="99"/>
        <v>нет</v>
      </c>
      <c r="W119" s="27" t="str">
        <f>""</f>
        <v/>
      </c>
      <c r="X119" s="27" t="str">
        <f>""</f>
        <v/>
      </c>
      <c r="Y119" s="29" t="str">
        <f>""</f>
        <v/>
      </c>
      <c r="Z119" s="27" t="str">
        <f t="shared" si="101"/>
        <v>х</v>
      </c>
      <c r="AA119" s="27" t="str">
        <f t="shared" si="106"/>
        <v>х</v>
      </c>
      <c r="AB119" s="27" t="str">
        <f t="shared" si="106"/>
        <v>х</v>
      </c>
      <c r="AC119" s="27" t="str">
        <f t="shared" si="96"/>
        <v>нет</v>
      </c>
      <c r="AD119" s="27" t="str">
        <f t="shared" si="104"/>
        <v>х</v>
      </c>
      <c r="AE119" s="27" t="str">
        <f t="shared" si="104"/>
        <v>х</v>
      </c>
      <c r="AF119" s="27" t="str">
        <f t="shared" si="104"/>
        <v>х</v>
      </c>
      <c r="AG119" s="27" t="str">
        <f t="shared" si="97"/>
        <v>нет</v>
      </c>
      <c r="AH119" s="27" t="str">
        <f t="shared" si="105"/>
        <v>х</v>
      </c>
      <c r="AI119" s="27" t="str">
        <f t="shared" si="105"/>
        <v>х</v>
      </c>
      <c r="AJ119" s="27" t="str">
        <f t="shared" si="105"/>
        <v>х</v>
      </c>
      <c r="AK119" s="28" t="str">
        <f>"2009"</f>
        <v>2009</v>
      </c>
      <c r="AL119" s="27" t="str">
        <f>"13,00"</f>
        <v>13,00</v>
      </c>
      <c r="AM119" s="27" t="str">
        <f>"2044-2046"</f>
        <v>2044-2046</v>
      </c>
      <c r="AN119" s="30" t="str">
        <f t="shared" si="103"/>
        <v>нет</v>
      </c>
      <c r="AO119" s="27" t="str">
        <f>""</f>
        <v/>
      </c>
      <c r="AP119" s="27" t="str">
        <f>""</f>
        <v/>
      </c>
      <c r="AQ119" s="27" t="str">
        <f>""</f>
        <v/>
      </c>
      <c r="AR119" s="27" t="str">
        <f t="shared" si="93"/>
        <v>нет</v>
      </c>
      <c r="AS119" s="27" t="str">
        <f>""</f>
        <v/>
      </c>
      <c r="AT119" s="27" t="str">
        <f>""</f>
        <v/>
      </c>
      <c r="AU119" s="27" t="str">
        <f>""</f>
        <v/>
      </c>
      <c r="AV119" s="27" t="str">
        <f>"2009"</f>
        <v>2009</v>
      </c>
      <c r="AW119" s="27" t="str">
        <f>"8,00"</f>
        <v>8,00</v>
      </c>
      <c r="AX119" s="27" t="str">
        <f>"2045-2047"</f>
        <v>2045-2047</v>
      </c>
      <c r="AY119" s="27" t="str">
        <f t="shared" si="94"/>
        <v>нет</v>
      </c>
      <c r="AZ119" s="27" t="str">
        <f>""</f>
        <v/>
      </c>
      <c r="BA119" s="27" t="str">
        <f>""</f>
        <v/>
      </c>
      <c r="BB119" s="27" t="str">
        <f>""</f>
        <v/>
      </c>
      <c r="BC119" s="27" t="str">
        <f t="shared" si="95"/>
        <v>нет</v>
      </c>
      <c r="BD119" s="27" t="str">
        <f>""</f>
        <v/>
      </c>
      <c r="BE119" s="27" t="str">
        <f>""</f>
        <v/>
      </c>
      <c r="BF119" s="27" t="str">
        <f>""</f>
        <v/>
      </c>
      <c r="BG119" s="27" t="str">
        <f>""</f>
        <v/>
      </c>
      <c r="BH119" s="27" t="str">
        <f>"65,00"</f>
        <v>65,00</v>
      </c>
      <c r="BI119" s="27" t="str">
        <f>"2015-2017"</f>
        <v>2015-2017</v>
      </c>
      <c r="BJ119" s="27" t="str">
        <f t="shared" si="102"/>
        <v>нет</v>
      </c>
      <c r="BK119" s="27" t="str">
        <f t="shared" si="92"/>
        <v>x</v>
      </c>
      <c r="BL119" s="27" t="str">
        <f>"65,00"</f>
        <v>65,00</v>
      </c>
      <c r="BM119" s="27" t="str">
        <f>"2028-2030"</f>
        <v>2028-2030</v>
      </c>
      <c r="BN119" s="27" t="str">
        <f>""</f>
        <v/>
      </c>
      <c r="BO119" s="27" t="str">
        <f>"65,00"</f>
        <v>65,00</v>
      </c>
      <c r="BP119" s="27" t="str">
        <f>"2032-2034"</f>
        <v>2032-2034</v>
      </c>
      <c r="BQ119" s="27" t="str">
        <f>""</f>
        <v/>
      </c>
      <c r="BR119" s="27" t="str">
        <f>"65,00"</f>
        <v>65,00</v>
      </c>
      <c r="BS119" s="27" t="str">
        <f>"2028-2030"</f>
        <v>2028-2030</v>
      </c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1"/>
      <c r="CE119" s="11"/>
      <c r="CF119" s="11"/>
      <c r="CG119" s="11"/>
      <c r="CH119" s="11"/>
      <c r="CI119" s="11"/>
      <c r="CJ119" s="11"/>
      <c r="CK119" s="11"/>
      <c r="CL119" s="11"/>
      <c r="CM119" s="11"/>
      <c r="CN119" s="11"/>
      <c r="CO119" s="11"/>
      <c r="CP119" s="11"/>
      <c r="CQ119" s="11"/>
      <c r="CR119" s="11"/>
      <c r="CS119" s="11"/>
      <c r="CT119" s="11"/>
      <c r="CU119" s="11"/>
      <c r="CV119" s="11"/>
      <c r="CW119" s="11"/>
      <c r="CX119" s="11"/>
      <c r="CY119" s="11"/>
      <c r="CZ119" s="11"/>
      <c r="DA119" s="11"/>
      <c r="DB119" s="11"/>
      <c r="DC119" s="11"/>
      <c r="DD119" s="11"/>
      <c r="DE119" s="11"/>
      <c r="DF119" s="11"/>
      <c r="DG119" s="11"/>
      <c r="DH119" s="11"/>
      <c r="DI119" s="11"/>
      <c r="DJ119" s="11"/>
      <c r="DK119" s="11"/>
      <c r="DL119" s="11"/>
      <c r="DM119" s="11"/>
      <c r="DN119" s="11"/>
      <c r="DO119" s="11"/>
    </row>
    <row r="120" spans="1:119" s="10" customFormat="1" ht="11.25" customHeight="1">
      <c r="A120" s="24" t="str">
        <f>"1.107"</f>
        <v>1.107</v>
      </c>
      <c r="B120" s="25" t="str">
        <f>"г. Кириллов, ул. Революционная, д.48"</f>
        <v>г. Кириллов, ул. Революционная, д.48</v>
      </c>
      <c r="C120" s="26" t="str">
        <f>"1983"</f>
        <v>1983</v>
      </c>
      <c r="D120" s="27" t="str">
        <f>"1983"</f>
        <v>1983</v>
      </c>
      <c r="E120" s="27" t="str">
        <f>"90,00"</f>
        <v>90,00</v>
      </c>
      <c r="F120" s="27" t="str">
        <f>"2040-2042"</f>
        <v>2040-2042</v>
      </c>
      <c r="G120" s="27" t="str">
        <f t="shared" si="85"/>
        <v>да</v>
      </c>
      <c r="H120" s="27" t="str">
        <f>"2010"</f>
        <v>2010</v>
      </c>
      <c r="I120" s="27" t="str">
        <f>"19,00"</f>
        <v>19,00</v>
      </c>
      <c r="J120" s="27" t="str">
        <f>"2026-2028"</f>
        <v>2026-2028</v>
      </c>
      <c r="K120" s="27" t="str">
        <f t="shared" si="98"/>
        <v>нет</v>
      </c>
      <c r="L120" s="27" t="str">
        <f>""</f>
        <v/>
      </c>
      <c r="M120" s="27" t="str">
        <f>""</f>
        <v/>
      </c>
      <c r="N120" s="27" t="str">
        <f>""</f>
        <v/>
      </c>
      <c r="O120" s="28" t="str">
        <f>""</f>
        <v/>
      </c>
      <c r="P120" s="27" t="str">
        <f>""</f>
        <v/>
      </c>
      <c r="Q120" s="27" t="str">
        <f>""</f>
        <v/>
      </c>
      <c r="R120" s="27" t="str">
        <f>"нет"</f>
        <v>нет</v>
      </c>
      <c r="S120" s="27" t="str">
        <f>""</f>
        <v/>
      </c>
      <c r="T120" s="27" t="str">
        <f>""</f>
        <v/>
      </c>
      <c r="U120" s="27" t="str">
        <f>""</f>
        <v/>
      </c>
      <c r="V120" s="27" t="str">
        <f t="shared" si="99"/>
        <v>нет</v>
      </c>
      <c r="W120" s="27" t="str">
        <f>""</f>
        <v/>
      </c>
      <c r="X120" s="27" t="str">
        <f>""</f>
        <v/>
      </c>
      <c r="Y120" s="29" t="str">
        <f>""</f>
        <v/>
      </c>
      <c r="Z120" s="27" t="str">
        <f t="shared" si="101"/>
        <v>х</v>
      </c>
      <c r="AA120" s="27" t="str">
        <f t="shared" si="106"/>
        <v>х</v>
      </c>
      <c r="AB120" s="27" t="str">
        <f t="shared" si="106"/>
        <v>х</v>
      </c>
      <c r="AC120" s="27" t="str">
        <f t="shared" si="96"/>
        <v>нет</v>
      </c>
      <c r="AD120" s="27" t="str">
        <f t="shared" si="104"/>
        <v>х</v>
      </c>
      <c r="AE120" s="27" t="str">
        <f t="shared" si="104"/>
        <v>х</v>
      </c>
      <c r="AF120" s="27" t="str">
        <f t="shared" si="104"/>
        <v>х</v>
      </c>
      <c r="AG120" s="27" t="str">
        <f t="shared" si="97"/>
        <v>нет</v>
      </c>
      <c r="AH120" s="27" t="str">
        <f t="shared" si="105"/>
        <v>х</v>
      </c>
      <c r="AI120" s="27" t="str">
        <f t="shared" si="105"/>
        <v>х</v>
      </c>
      <c r="AJ120" s="27" t="str">
        <f t="shared" si="105"/>
        <v>х</v>
      </c>
      <c r="AK120" s="28" t="str">
        <f>"х"</f>
        <v>х</v>
      </c>
      <c r="AL120" s="27" t="str">
        <f>"х"</f>
        <v>х</v>
      </c>
      <c r="AM120" s="27" t="str">
        <f>"х"</f>
        <v>х</v>
      </c>
      <c r="AN120" s="30" t="str">
        <f t="shared" si="103"/>
        <v>нет</v>
      </c>
      <c r="AO120" s="27" t="str">
        <f>"х"</f>
        <v>х</v>
      </c>
      <c r="AP120" s="27" t="str">
        <f>"х"</f>
        <v>х</v>
      </c>
      <c r="AQ120" s="27" t="str">
        <f>"х"</f>
        <v>х</v>
      </c>
      <c r="AR120" s="27" t="str">
        <f t="shared" si="93"/>
        <v>нет</v>
      </c>
      <c r="AS120" s="27" t="str">
        <f t="shared" ref="AS120:AX120" si="107">"х"</f>
        <v>х</v>
      </c>
      <c r="AT120" s="27" t="str">
        <f t="shared" si="107"/>
        <v>х</v>
      </c>
      <c r="AU120" s="27" t="str">
        <f t="shared" si="107"/>
        <v>х</v>
      </c>
      <c r="AV120" s="27" t="str">
        <f t="shared" si="107"/>
        <v>х</v>
      </c>
      <c r="AW120" s="27" t="str">
        <f t="shared" si="107"/>
        <v>х</v>
      </c>
      <c r="AX120" s="27" t="str">
        <f t="shared" si="107"/>
        <v>х</v>
      </c>
      <c r="AY120" s="27" t="str">
        <f t="shared" si="94"/>
        <v>нет</v>
      </c>
      <c r="AZ120" s="27" t="str">
        <f>"х"</f>
        <v>х</v>
      </c>
      <c r="BA120" s="27" t="str">
        <f>"х"</f>
        <v>х</v>
      </c>
      <c r="BB120" s="27" t="str">
        <f>"х"</f>
        <v>х</v>
      </c>
      <c r="BC120" s="27" t="str">
        <f t="shared" si="95"/>
        <v>нет</v>
      </c>
      <c r="BD120" s="27" t="str">
        <f>"х"</f>
        <v>х</v>
      </c>
      <c r="BE120" s="27" t="str">
        <f>"х"</f>
        <v>х</v>
      </c>
      <c r="BF120" s="27" t="str">
        <f>"х"</f>
        <v>х</v>
      </c>
      <c r="BG120" s="27" t="str">
        <f>""</f>
        <v/>
      </c>
      <c r="BH120" s="27" t="str">
        <f>"65,00"</f>
        <v>65,00</v>
      </c>
      <c r="BI120" s="27" t="str">
        <f>"2021-2023"</f>
        <v>2021-2023</v>
      </c>
      <c r="BJ120" s="27" t="str">
        <f t="shared" si="102"/>
        <v>нет</v>
      </c>
      <c r="BK120" s="27" t="str">
        <f t="shared" si="92"/>
        <v>x</v>
      </c>
      <c r="BL120" s="27" t="str">
        <f>"60,00"</f>
        <v>60,00</v>
      </c>
      <c r="BM120" s="27" t="str">
        <f>"2017-2019"</f>
        <v>2017-2019</v>
      </c>
      <c r="BN120" s="27" t="str">
        <f>""</f>
        <v/>
      </c>
      <c r="BO120" s="27" t="str">
        <f>"60,00"</f>
        <v>60,00</v>
      </c>
      <c r="BP120" s="27" t="str">
        <f>"2026-2028"</f>
        <v>2026-2028</v>
      </c>
      <c r="BQ120" s="27" t="str">
        <f>""</f>
        <v/>
      </c>
      <c r="BR120" s="27" t="str">
        <f>"60,00"</f>
        <v>60,00</v>
      </c>
      <c r="BS120" s="27" t="str">
        <f>"2017-2019"</f>
        <v>2017-2019</v>
      </c>
      <c r="BT120" s="11"/>
      <c r="BU120" s="11"/>
      <c r="BV120" s="11"/>
      <c r="BW120" s="11"/>
      <c r="BX120" s="11"/>
      <c r="BY120" s="11"/>
      <c r="BZ120" s="11"/>
      <c r="CA120" s="11"/>
      <c r="CB120" s="11"/>
      <c r="CC120" s="11"/>
      <c r="CD120" s="11"/>
      <c r="CE120" s="11"/>
      <c r="CF120" s="11"/>
      <c r="CG120" s="11"/>
      <c r="CH120" s="11"/>
      <c r="CI120" s="11"/>
      <c r="CJ120" s="11"/>
      <c r="CK120" s="11"/>
      <c r="CL120" s="11"/>
      <c r="CM120" s="11"/>
      <c r="CN120" s="11"/>
      <c r="CO120" s="11"/>
      <c r="CP120" s="11"/>
      <c r="CQ120" s="11"/>
      <c r="CR120" s="11"/>
      <c r="CS120" s="11"/>
      <c r="CT120" s="11"/>
      <c r="CU120" s="11"/>
      <c r="CV120" s="11"/>
      <c r="CW120" s="11"/>
      <c r="CX120" s="11"/>
      <c r="CY120" s="11"/>
      <c r="CZ120" s="11"/>
      <c r="DA120" s="11"/>
      <c r="DB120" s="11"/>
      <c r="DC120" s="11"/>
      <c r="DD120" s="11"/>
      <c r="DE120" s="11"/>
      <c r="DF120" s="11"/>
      <c r="DG120" s="11"/>
      <c r="DH120" s="11"/>
      <c r="DI120" s="11"/>
      <c r="DJ120" s="11"/>
      <c r="DK120" s="11"/>
      <c r="DL120" s="11"/>
      <c r="DM120" s="11"/>
      <c r="DN120" s="11"/>
      <c r="DO120" s="11"/>
    </row>
    <row r="121" spans="1:119" s="10" customFormat="1" ht="11.25" customHeight="1">
      <c r="A121" s="24" t="str">
        <f>"1.108"</f>
        <v>1.108</v>
      </c>
      <c r="B121" s="25" t="str">
        <f>"г. Кириллов, ул. Симоновская, д.38"</f>
        <v>г. Кириллов, ул. Симоновская, д.38</v>
      </c>
      <c r="C121" s="26" t="str">
        <f>"1988"</f>
        <v>1988</v>
      </c>
      <c r="D121" s="27" t="str">
        <f>""</f>
        <v/>
      </c>
      <c r="E121" s="27" t="str">
        <f>"83,00"</f>
        <v>83,00</v>
      </c>
      <c r="F121" s="27" t="str">
        <f>"2017-2019"</f>
        <v>2017-2019</v>
      </c>
      <c r="G121" s="27" t="str">
        <f t="shared" si="85"/>
        <v>да</v>
      </c>
      <c r="H121" s="27" t="str">
        <f>"2009"</f>
        <v>2009</v>
      </c>
      <c r="I121" s="27" t="str">
        <f>"25,00"</f>
        <v>25,00</v>
      </c>
      <c r="J121" s="27" t="str">
        <f>"2025-2027"</f>
        <v>2025-2027</v>
      </c>
      <c r="K121" s="27" t="str">
        <f t="shared" si="98"/>
        <v>нет</v>
      </c>
      <c r="L121" s="27" t="str">
        <f>""</f>
        <v/>
      </c>
      <c r="M121" s="27" t="str">
        <f>""</f>
        <v/>
      </c>
      <c r="N121" s="27" t="str">
        <f>""</f>
        <v/>
      </c>
      <c r="O121" s="28" t="str">
        <f>""</f>
        <v/>
      </c>
      <c r="P121" s="27" t="str">
        <f>"85,00"</f>
        <v>85,00</v>
      </c>
      <c r="Q121" s="27" t="str">
        <f>"2025-2027"</f>
        <v>2025-2027</v>
      </c>
      <c r="R121" s="27" t="str">
        <f>"да"</f>
        <v>да</v>
      </c>
      <c r="S121" s="27" t="str">
        <f>"2009"</f>
        <v>2009</v>
      </c>
      <c r="T121" s="27" t="str">
        <f>"24,00"</f>
        <v>24,00</v>
      </c>
      <c r="U121" s="27" t="str">
        <f>"2025-2027"</f>
        <v>2025-2027</v>
      </c>
      <c r="V121" s="27" t="str">
        <f t="shared" si="99"/>
        <v>нет</v>
      </c>
      <c r="W121" s="27" t="str">
        <f>""</f>
        <v/>
      </c>
      <c r="X121" s="27" t="str">
        <f>""</f>
        <v/>
      </c>
      <c r="Y121" s="29" t="str">
        <f>""</f>
        <v/>
      </c>
      <c r="Z121" s="27" t="str">
        <f t="shared" si="101"/>
        <v>х</v>
      </c>
      <c r="AA121" s="27" t="str">
        <f>"35,00"</f>
        <v>35,00</v>
      </c>
      <c r="AB121" s="27" t="str">
        <f>"2033-2035"</f>
        <v>2033-2035</v>
      </c>
      <c r="AC121" s="27" t="str">
        <f t="shared" si="96"/>
        <v>нет</v>
      </c>
      <c r="AD121" s="27" t="str">
        <f t="shared" si="104"/>
        <v>х</v>
      </c>
      <c r="AE121" s="27" t="str">
        <f t="shared" si="104"/>
        <v>х</v>
      </c>
      <c r="AF121" s="27" t="str">
        <f t="shared" si="104"/>
        <v>х</v>
      </c>
      <c r="AG121" s="27" t="str">
        <f t="shared" si="97"/>
        <v>нет</v>
      </c>
      <c r="AH121" s="27" t="str">
        <f t="shared" si="105"/>
        <v>х</v>
      </c>
      <c r="AI121" s="27" t="str">
        <f t="shared" si="105"/>
        <v>х</v>
      </c>
      <c r="AJ121" s="27" t="str">
        <f t="shared" si="105"/>
        <v>х</v>
      </c>
      <c r="AK121" s="28" t="str">
        <f>""</f>
        <v/>
      </c>
      <c r="AL121" s="27" t="str">
        <f>"83,00"</f>
        <v>83,00</v>
      </c>
      <c r="AM121" s="27" t="str">
        <f>"2021-2023"</f>
        <v>2021-2023</v>
      </c>
      <c r="AN121" s="30" t="str">
        <f t="shared" si="103"/>
        <v>нет</v>
      </c>
      <c r="AO121" s="27" t="str">
        <f>""</f>
        <v/>
      </c>
      <c r="AP121" s="27" t="str">
        <f>""</f>
        <v/>
      </c>
      <c r="AQ121" s="27" t="str">
        <f>""</f>
        <v/>
      </c>
      <c r="AR121" s="27" t="str">
        <f t="shared" si="93"/>
        <v>нет</v>
      </c>
      <c r="AS121" s="27" t="str">
        <f>""</f>
        <v/>
      </c>
      <c r="AT121" s="27" t="str">
        <f>""</f>
        <v/>
      </c>
      <c r="AU121" s="27" t="str">
        <f>""</f>
        <v/>
      </c>
      <c r="AV121" s="27" t="str">
        <f>"2010"</f>
        <v>2010</v>
      </c>
      <c r="AW121" s="27" t="str">
        <f>"6,00"</f>
        <v>6,00</v>
      </c>
      <c r="AX121" s="27" t="str">
        <f>"2045-2047"</f>
        <v>2045-2047</v>
      </c>
      <c r="AY121" s="27" t="str">
        <f t="shared" si="94"/>
        <v>нет</v>
      </c>
      <c r="AZ121" s="27" t="str">
        <f>""</f>
        <v/>
      </c>
      <c r="BA121" s="27" t="str">
        <f>""</f>
        <v/>
      </c>
      <c r="BB121" s="27" t="str">
        <f>""</f>
        <v/>
      </c>
      <c r="BC121" s="27" t="str">
        <f t="shared" si="95"/>
        <v>нет</v>
      </c>
      <c r="BD121" s="27" t="str">
        <f>""</f>
        <v/>
      </c>
      <c r="BE121" s="27" t="str">
        <f>""</f>
        <v/>
      </c>
      <c r="BF121" s="27" t="str">
        <f>""</f>
        <v/>
      </c>
      <c r="BG121" s="27" t="str">
        <f>""</f>
        <v/>
      </c>
      <c r="BH121" s="27" t="str">
        <f>"60,00"</f>
        <v>60,00</v>
      </c>
      <c r="BI121" s="27" t="str">
        <f>"2025-2027"</f>
        <v>2025-2027</v>
      </c>
      <c r="BJ121" s="27" t="str">
        <f t="shared" si="102"/>
        <v>нет</v>
      </c>
      <c r="BK121" s="27" t="str">
        <f t="shared" si="92"/>
        <v>x</v>
      </c>
      <c r="BL121" s="27" t="str">
        <f>"50,00"</f>
        <v>50,00</v>
      </c>
      <c r="BM121" s="27" t="str">
        <f>"2028-2030"</f>
        <v>2028-2030</v>
      </c>
      <c r="BN121" s="27" t="str">
        <f>""</f>
        <v/>
      </c>
      <c r="BO121" s="27" t="str">
        <f>"50,00"</f>
        <v>50,00</v>
      </c>
      <c r="BP121" s="27" t="str">
        <f>"2034-2036"</f>
        <v>2034-2036</v>
      </c>
      <c r="BQ121" s="27" t="str">
        <f>""</f>
        <v/>
      </c>
      <c r="BR121" s="27" t="str">
        <f>"50,00"</f>
        <v>50,00</v>
      </c>
      <c r="BS121" s="27" t="str">
        <f>"2028-2030"</f>
        <v>2028-2030</v>
      </c>
      <c r="BT121" s="11"/>
      <c r="BU121" s="11"/>
      <c r="BV121" s="11"/>
      <c r="BW121" s="11"/>
      <c r="BX121" s="11"/>
      <c r="BY121" s="11"/>
      <c r="BZ121" s="11"/>
      <c r="CA121" s="11"/>
      <c r="CB121" s="11"/>
      <c r="CC121" s="11"/>
      <c r="CD121" s="11"/>
      <c r="CE121" s="11"/>
      <c r="CF121" s="11"/>
      <c r="CG121" s="11"/>
      <c r="CH121" s="11"/>
      <c r="CI121" s="11"/>
      <c r="CJ121" s="11"/>
      <c r="CK121" s="11"/>
      <c r="CL121" s="11"/>
      <c r="CM121" s="11"/>
      <c r="CN121" s="11"/>
      <c r="CO121" s="11"/>
      <c r="CP121" s="11"/>
      <c r="CQ121" s="11"/>
      <c r="CR121" s="11"/>
      <c r="CS121" s="11"/>
      <c r="CT121" s="11"/>
      <c r="CU121" s="11"/>
      <c r="CV121" s="11"/>
      <c r="CW121" s="11"/>
      <c r="CX121" s="11"/>
      <c r="CY121" s="11"/>
      <c r="CZ121" s="11"/>
      <c r="DA121" s="11"/>
      <c r="DB121" s="11"/>
      <c r="DC121" s="11"/>
      <c r="DD121" s="11"/>
      <c r="DE121" s="11"/>
      <c r="DF121" s="11"/>
      <c r="DG121" s="11"/>
      <c r="DH121" s="11"/>
      <c r="DI121" s="11"/>
      <c r="DJ121" s="11"/>
      <c r="DK121" s="11"/>
      <c r="DL121" s="11"/>
      <c r="DM121" s="11"/>
      <c r="DN121" s="11"/>
      <c r="DO121" s="11"/>
    </row>
    <row r="122" spans="1:119" s="9" customFormat="1" ht="11.25" customHeight="1">
      <c r="A122" s="24" t="str">
        <f>"1.109"</f>
        <v>1.109</v>
      </c>
      <c r="B122" s="25" t="str">
        <f>"г. Кириллов, ул. Симоновская, д.44"</f>
        <v>г. Кириллов, ул. Симоновская, д.44</v>
      </c>
      <c r="C122" s="26" t="str">
        <f>"1988"</f>
        <v>1988</v>
      </c>
      <c r="D122" s="27" t="str">
        <f>""</f>
        <v/>
      </c>
      <c r="E122" s="27" t="str">
        <f>"78,00"</f>
        <v>78,00</v>
      </c>
      <c r="F122" s="27" t="str">
        <f>"2040-2042"</f>
        <v>2040-2042</v>
      </c>
      <c r="G122" s="27" t="str">
        <f t="shared" si="85"/>
        <v>да</v>
      </c>
      <c r="H122" s="27" t="str">
        <f>"2009"</f>
        <v>2009</v>
      </c>
      <c r="I122" s="27" t="str">
        <f>"6,00"</f>
        <v>6,00</v>
      </c>
      <c r="J122" s="27" t="str">
        <f>"2025-2027"</f>
        <v>2025-2027</v>
      </c>
      <c r="K122" s="27" t="str">
        <f t="shared" si="98"/>
        <v>нет</v>
      </c>
      <c r="L122" s="27" t="str">
        <f>""</f>
        <v/>
      </c>
      <c r="M122" s="27" t="str">
        <f>""</f>
        <v/>
      </c>
      <c r="N122" s="27" t="str">
        <f>""</f>
        <v/>
      </c>
      <c r="O122" s="28" t="str">
        <f>""</f>
        <v/>
      </c>
      <c r="P122" s="27" t="str">
        <f>"90,00"</f>
        <v>90,00</v>
      </c>
      <c r="Q122" s="27" t="str">
        <f>"2025-2027"</f>
        <v>2025-2027</v>
      </c>
      <c r="R122" s="27" t="str">
        <f>"да"</f>
        <v>да</v>
      </c>
      <c r="S122" s="27" t="str">
        <f>"2012"</f>
        <v>2012</v>
      </c>
      <c r="T122" s="27" t="str">
        <f>"6,00"</f>
        <v>6,00</v>
      </c>
      <c r="U122" s="27" t="str">
        <f>"2028-2030"</f>
        <v>2028-2030</v>
      </c>
      <c r="V122" s="27" t="str">
        <f t="shared" si="99"/>
        <v>нет</v>
      </c>
      <c r="W122" s="27" t="str">
        <f>""</f>
        <v/>
      </c>
      <c r="X122" s="27" t="str">
        <f>""</f>
        <v/>
      </c>
      <c r="Y122" s="29" t="str">
        <f>""</f>
        <v/>
      </c>
      <c r="Z122" s="27" t="str">
        <f t="shared" si="101"/>
        <v>х</v>
      </c>
      <c r="AA122" s="27" t="str">
        <f t="shared" ref="AA122:AB133" si="108">"х"</f>
        <v>х</v>
      </c>
      <c r="AB122" s="27" t="str">
        <f t="shared" si="108"/>
        <v>х</v>
      </c>
      <c r="AC122" s="27" t="str">
        <f t="shared" si="96"/>
        <v>нет</v>
      </c>
      <c r="AD122" s="27" t="str">
        <f t="shared" si="104"/>
        <v>х</v>
      </c>
      <c r="AE122" s="27" t="str">
        <f t="shared" si="104"/>
        <v>х</v>
      </c>
      <c r="AF122" s="27" t="str">
        <f t="shared" si="104"/>
        <v>х</v>
      </c>
      <c r="AG122" s="27" t="str">
        <f t="shared" si="97"/>
        <v>нет</v>
      </c>
      <c r="AH122" s="27" t="str">
        <f t="shared" si="105"/>
        <v>х</v>
      </c>
      <c r="AI122" s="27" t="str">
        <f t="shared" si="105"/>
        <v>х</v>
      </c>
      <c r="AJ122" s="27" t="str">
        <f t="shared" si="105"/>
        <v>х</v>
      </c>
      <c r="AK122" s="28" t="str">
        <f>""</f>
        <v/>
      </c>
      <c r="AL122" s="27" t="str">
        <f>"83,00"</f>
        <v>83,00</v>
      </c>
      <c r="AM122" s="27" t="str">
        <f>"2028-2030"</f>
        <v>2028-2030</v>
      </c>
      <c r="AN122" s="30" t="str">
        <f>"да"</f>
        <v>да</v>
      </c>
      <c r="AO122" s="27" t="str">
        <f>"2012"</f>
        <v>2012</v>
      </c>
      <c r="AP122" s="27" t="str">
        <f>"17,00"</f>
        <v>17,00</v>
      </c>
      <c r="AQ122" s="27" t="str">
        <f>"2018-2020"</f>
        <v>2018-2020</v>
      </c>
      <c r="AR122" s="27" t="str">
        <f t="shared" si="93"/>
        <v>нет</v>
      </c>
      <c r="AS122" s="27" t="str">
        <f>""</f>
        <v/>
      </c>
      <c r="AT122" s="27" t="str">
        <f>""</f>
        <v/>
      </c>
      <c r="AU122" s="27" t="str">
        <f>""</f>
        <v/>
      </c>
      <c r="AV122" s="27" t="str">
        <f>""</f>
        <v/>
      </c>
      <c r="AW122" s="27" t="str">
        <f>"50,00"</f>
        <v>50,00</v>
      </c>
      <c r="AX122" s="27" t="str">
        <f>"2019-2021"</f>
        <v>2019-2021</v>
      </c>
      <c r="AY122" s="27" t="str">
        <f t="shared" si="94"/>
        <v>нет</v>
      </c>
      <c r="AZ122" s="27" t="str">
        <f>""</f>
        <v/>
      </c>
      <c r="BA122" s="27" t="str">
        <f>""</f>
        <v/>
      </c>
      <c r="BB122" s="27" t="str">
        <f>""</f>
        <v/>
      </c>
      <c r="BC122" s="27" t="str">
        <f t="shared" si="95"/>
        <v>нет</v>
      </c>
      <c r="BD122" s="27" t="str">
        <f>""</f>
        <v/>
      </c>
      <c r="BE122" s="27" t="str">
        <f>""</f>
        <v/>
      </c>
      <c r="BF122" s="27" t="str">
        <f>""</f>
        <v/>
      </c>
      <c r="BG122" s="27" t="str">
        <f>""</f>
        <v/>
      </c>
      <c r="BH122" s="27" t="str">
        <f>"60,00"</f>
        <v>60,00</v>
      </c>
      <c r="BI122" s="27" t="str">
        <f>"2037-2039"</f>
        <v>2037-2039</v>
      </c>
      <c r="BJ122" s="27" t="str">
        <f t="shared" si="102"/>
        <v>нет</v>
      </c>
      <c r="BK122" s="27" t="str">
        <f t="shared" si="92"/>
        <v>x</v>
      </c>
      <c r="BL122" s="27" t="str">
        <f>"50,00"</f>
        <v>50,00</v>
      </c>
      <c r="BM122" s="27" t="str">
        <f>"2026-2028"</f>
        <v>2026-2028</v>
      </c>
      <c r="BN122" s="27" t="str">
        <f>""</f>
        <v/>
      </c>
      <c r="BO122" s="27" t="str">
        <f>"50,00"</f>
        <v>50,00</v>
      </c>
      <c r="BP122" s="27" t="str">
        <f>"2030-2032"</f>
        <v>2030-2032</v>
      </c>
      <c r="BQ122" s="27" t="str">
        <f>""</f>
        <v/>
      </c>
      <c r="BR122" s="27" t="str">
        <f>"50,00"</f>
        <v>50,00</v>
      </c>
      <c r="BS122" s="27" t="str">
        <f>"2026-2028"</f>
        <v>2026-2028</v>
      </c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  <c r="CH122" s="11"/>
      <c r="CI122" s="11"/>
      <c r="CJ122" s="11"/>
      <c r="CK122" s="11"/>
      <c r="CL122" s="11"/>
      <c r="CM122" s="11"/>
      <c r="CN122" s="11"/>
      <c r="CO122" s="11"/>
      <c r="CP122" s="11"/>
      <c r="CQ122" s="11"/>
      <c r="CR122" s="11"/>
      <c r="CS122" s="11"/>
      <c r="CT122" s="11"/>
      <c r="CU122" s="11"/>
      <c r="CV122" s="11"/>
      <c r="CW122" s="11"/>
      <c r="CX122" s="11"/>
      <c r="CY122" s="11"/>
      <c r="CZ122" s="11"/>
      <c r="DA122" s="11"/>
      <c r="DB122" s="11"/>
      <c r="DC122" s="11"/>
      <c r="DD122" s="11"/>
      <c r="DE122" s="11"/>
      <c r="DF122" s="11"/>
      <c r="DG122" s="11"/>
      <c r="DH122" s="11"/>
      <c r="DI122" s="11"/>
      <c r="DJ122" s="11"/>
      <c r="DK122" s="11"/>
      <c r="DL122" s="11"/>
      <c r="DM122" s="11"/>
      <c r="DN122" s="11"/>
      <c r="DO122" s="11"/>
    </row>
    <row r="123" spans="1:119" s="9" customFormat="1" ht="11.25" customHeight="1">
      <c r="A123" s="24" t="str">
        <f>"1.110"</f>
        <v>1.110</v>
      </c>
      <c r="B123" s="25" t="str">
        <f>"г. Кириллов, ул. Симоновская, д.66"</f>
        <v>г. Кириллов, ул. Симоновская, д.66</v>
      </c>
      <c r="C123" s="26" t="str">
        <f>"1984"</f>
        <v>1984</v>
      </c>
      <c r="D123" s="27" t="str">
        <f>""</f>
        <v/>
      </c>
      <c r="E123" s="27" t="str">
        <f>"80,00"</f>
        <v>80,00</v>
      </c>
      <c r="F123" s="27" t="str">
        <f>"2018-2020"</f>
        <v>2018-2020</v>
      </c>
      <c r="G123" s="27" t="str">
        <f t="shared" si="85"/>
        <v>да</v>
      </c>
      <c r="H123" s="27" t="str">
        <f>"2010"</f>
        <v>2010</v>
      </c>
      <c r="I123" s="27" t="str">
        <f>"19,00"</f>
        <v>19,00</v>
      </c>
      <c r="J123" s="27" t="str">
        <f>"2026-2028"</f>
        <v>2026-2028</v>
      </c>
      <c r="K123" s="27" t="str">
        <f t="shared" si="98"/>
        <v>нет</v>
      </c>
      <c r="L123" s="27" t="str">
        <f>""</f>
        <v/>
      </c>
      <c r="M123" s="27" t="str">
        <f>""</f>
        <v/>
      </c>
      <c r="N123" s="27" t="str">
        <f>""</f>
        <v/>
      </c>
      <c r="O123" s="28" t="str">
        <f>""</f>
        <v/>
      </c>
      <c r="P123" s="27" t="str">
        <f>"80,00"</f>
        <v>80,00</v>
      </c>
      <c r="Q123" s="27" t="str">
        <f>"2025-2027"</f>
        <v>2025-2027</v>
      </c>
      <c r="R123" s="27" t="str">
        <f>"да"</f>
        <v>да</v>
      </c>
      <c r="S123" s="27" t="str">
        <f>"2010"</f>
        <v>2010</v>
      </c>
      <c r="T123" s="27" t="str">
        <f>"19,00"</f>
        <v>19,00</v>
      </c>
      <c r="U123" s="27" t="str">
        <f>"2026-2028"</f>
        <v>2026-2028</v>
      </c>
      <c r="V123" s="27" t="str">
        <f t="shared" si="99"/>
        <v>нет</v>
      </c>
      <c r="W123" s="27" t="str">
        <f>""</f>
        <v/>
      </c>
      <c r="X123" s="27" t="str">
        <f>""</f>
        <v/>
      </c>
      <c r="Y123" s="29" t="str">
        <f>""</f>
        <v/>
      </c>
      <c r="Z123" s="27" t="str">
        <f t="shared" si="101"/>
        <v>х</v>
      </c>
      <c r="AA123" s="27" t="str">
        <f t="shared" si="108"/>
        <v>х</v>
      </c>
      <c r="AB123" s="27" t="str">
        <f t="shared" si="108"/>
        <v>х</v>
      </c>
      <c r="AC123" s="27" t="str">
        <f t="shared" si="96"/>
        <v>нет</v>
      </c>
      <c r="AD123" s="27" t="str">
        <f t="shared" si="104"/>
        <v>х</v>
      </c>
      <c r="AE123" s="27" t="str">
        <f t="shared" si="104"/>
        <v>х</v>
      </c>
      <c r="AF123" s="27" t="str">
        <f t="shared" si="104"/>
        <v>х</v>
      </c>
      <c r="AG123" s="27" t="str">
        <f t="shared" si="97"/>
        <v>нет</v>
      </c>
      <c r="AH123" s="27" t="str">
        <f t="shared" si="105"/>
        <v>х</v>
      </c>
      <c r="AI123" s="27" t="str">
        <f t="shared" si="105"/>
        <v>х</v>
      </c>
      <c r="AJ123" s="27" t="str">
        <f t="shared" si="105"/>
        <v>х</v>
      </c>
      <c r="AK123" s="28" t="str">
        <f>""</f>
        <v/>
      </c>
      <c r="AL123" s="27" t="str">
        <f>"90,00"</f>
        <v>90,00</v>
      </c>
      <c r="AM123" s="27" t="str">
        <f>"2020-2022"</f>
        <v>2020-2022</v>
      </c>
      <c r="AN123" s="30" t="str">
        <f>"да"</f>
        <v>да</v>
      </c>
      <c r="AO123" s="27" t="str">
        <f>"2010"</f>
        <v>2010</v>
      </c>
      <c r="AP123" s="27" t="str">
        <f>"50,00"</f>
        <v>50,00</v>
      </c>
      <c r="AQ123" s="27" t="str">
        <f>"2016-2018"</f>
        <v>2016-2018</v>
      </c>
      <c r="AR123" s="27" t="str">
        <f t="shared" si="93"/>
        <v>нет</v>
      </c>
      <c r="AS123" s="27" t="str">
        <f>""</f>
        <v/>
      </c>
      <c r="AT123" s="27" t="str">
        <f>""</f>
        <v/>
      </c>
      <c r="AU123" s="27" t="str">
        <f>""</f>
        <v/>
      </c>
      <c r="AV123" s="27" t="str">
        <f>""</f>
        <v/>
      </c>
      <c r="AW123" s="27" t="str">
        <f>"73,00"</f>
        <v>73,00</v>
      </c>
      <c r="AX123" s="27" t="str">
        <f>"2027-2029"</f>
        <v>2027-2029</v>
      </c>
      <c r="AY123" s="27" t="str">
        <f t="shared" si="94"/>
        <v>нет</v>
      </c>
      <c r="AZ123" s="27" t="str">
        <f>""</f>
        <v/>
      </c>
      <c r="BA123" s="27" t="str">
        <f>""</f>
        <v/>
      </c>
      <c r="BB123" s="27" t="str">
        <f>""</f>
        <v/>
      </c>
      <c r="BC123" s="27" t="str">
        <f t="shared" si="95"/>
        <v>нет</v>
      </c>
      <c r="BD123" s="27" t="str">
        <f>""</f>
        <v/>
      </c>
      <c r="BE123" s="27" t="str">
        <f>""</f>
        <v/>
      </c>
      <c r="BF123" s="27" t="str">
        <f>""</f>
        <v/>
      </c>
      <c r="BG123" s="27" t="str">
        <f>"2005"</f>
        <v>2005</v>
      </c>
      <c r="BH123" s="27" t="str">
        <f>"53,00"</f>
        <v>53,00</v>
      </c>
      <c r="BI123" s="27" t="str">
        <f>"2026-2028"</f>
        <v>2026-2028</v>
      </c>
      <c r="BJ123" s="27" t="str">
        <f t="shared" si="102"/>
        <v>нет</v>
      </c>
      <c r="BK123" s="27" t="str">
        <f t="shared" si="92"/>
        <v>x</v>
      </c>
      <c r="BL123" s="27" t="str">
        <f>"55,00"</f>
        <v>55,00</v>
      </c>
      <c r="BM123" s="27" t="str">
        <f>"2029-2031"</f>
        <v>2029-2031</v>
      </c>
      <c r="BN123" s="27" t="str">
        <f>""</f>
        <v/>
      </c>
      <c r="BO123" s="27" t="str">
        <f>"65,00"</f>
        <v>65,00</v>
      </c>
      <c r="BP123" s="27" t="str">
        <f>"2036-2038"</f>
        <v>2036-2038</v>
      </c>
      <c r="BQ123" s="27" t="str">
        <f>""</f>
        <v/>
      </c>
      <c r="BR123" s="27" t="str">
        <f>"55,00"</f>
        <v>55,00</v>
      </c>
      <c r="BS123" s="27" t="str">
        <f>"2029-2031"</f>
        <v>2029-2031</v>
      </c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  <c r="CO123" s="11"/>
      <c r="CP123" s="11"/>
      <c r="CQ123" s="11"/>
      <c r="CR123" s="11"/>
      <c r="CS123" s="11"/>
      <c r="CT123" s="11"/>
      <c r="CU123" s="11"/>
      <c r="CV123" s="11"/>
      <c r="CW123" s="11"/>
      <c r="CX123" s="11"/>
      <c r="CY123" s="11"/>
      <c r="CZ123" s="11"/>
      <c r="DA123" s="11"/>
      <c r="DB123" s="11"/>
      <c r="DC123" s="11"/>
      <c r="DD123" s="11"/>
      <c r="DE123" s="11"/>
      <c r="DF123" s="11"/>
      <c r="DG123" s="11"/>
      <c r="DH123" s="11"/>
      <c r="DI123" s="11"/>
      <c r="DJ123" s="11"/>
      <c r="DK123" s="11"/>
      <c r="DL123" s="11"/>
      <c r="DM123" s="11"/>
      <c r="DN123" s="11"/>
      <c r="DO123" s="11"/>
    </row>
    <row r="124" spans="1:119" s="10" customFormat="1" ht="11.25" customHeight="1">
      <c r="A124" s="24" t="str">
        <f>"1.111"</f>
        <v>1.111</v>
      </c>
      <c r="B124" s="25" t="str">
        <f>"г. Кириллов, ул. Советская, д.23А"</f>
        <v>г. Кириллов, ул. Советская, д.23А</v>
      </c>
      <c r="C124" s="26" t="str">
        <f>"1988"</f>
        <v>1988</v>
      </c>
      <c r="D124" s="27" t="str">
        <f>""</f>
        <v/>
      </c>
      <c r="E124" s="27" t="str">
        <f>"90,00"</f>
        <v>90,00</v>
      </c>
      <c r="F124" s="27" t="str">
        <f>"2040-2042"</f>
        <v>2040-2042</v>
      </c>
      <c r="G124" s="27" t="str">
        <f t="shared" si="85"/>
        <v>да</v>
      </c>
      <c r="H124" s="27" t="str">
        <f>"2010"</f>
        <v>2010</v>
      </c>
      <c r="I124" s="27" t="str">
        <f>"19,00"</f>
        <v>19,00</v>
      </c>
      <c r="J124" s="27" t="str">
        <f>"2026-2028"</f>
        <v>2026-2028</v>
      </c>
      <c r="K124" s="27" t="str">
        <f t="shared" si="98"/>
        <v>нет</v>
      </c>
      <c r="L124" s="27" t="str">
        <f>""</f>
        <v/>
      </c>
      <c r="M124" s="27" t="str">
        <f>""</f>
        <v/>
      </c>
      <c r="N124" s="27" t="str">
        <f>""</f>
        <v/>
      </c>
      <c r="O124" s="28" t="str">
        <f>""</f>
        <v/>
      </c>
      <c r="P124" s="27" t="str">
        <f>""</f>
        <v/>
      </c>
      <c r="Q124" s="27" t="str">
        <f>""</f>
        <v/>
      </c>
      <c r="R124" s="27" t="str">
        <f t="shared" ref="R124:R130" si="109">"нет"</f>
        <v>нет</v>
      </c>
      <c r="S124" s="27" t="str">
        <f>""</f>
        <v/>
      </c>
      <c r="T124" s="27" t="str">
        <f>""</f>
        <v/>
      </c>
      <c r="U124" s="27" t="str">
        <f>""</f>
        <v/>
      </c>
      <c r="V124" s="27" t="str">
        <f t="shared" si="99"/>
        <v>нет</v>
      </c>
      <c r="W124" s="27" t="str">
        <f>""</f>
        <v/>
      </c>
      <c r="X124" s="27" t="str">
        <f>""</f>
        <v/>
      </c>
      <c r="Y124" s="29" t="str">
        <f>""</f>
        <v/>
      </c>
      <c r="Z124" s="27" t="str">
        <f t="shared" si="101"/>
        <v>х</v>
      </c>
      <c r="AA124" s="27" t="str">
        <f t="shared" si="108"/>
        <v>х</v>
      </c>
      <c r="AB124" s="27" t="str">
        <f t="shared" si="108"/>
        <v>х</v>
      </c>
      <c r="AC124" s="27" t="str">
        <f t="shared" si="96"/>
        <v>нет</v>
      </c>
      <c r="AD124" s="27" t="str">
        <f t="shared" si="104"/>
        <v>х</v>
      </c>
      <c r="AE124" s="27" t="str">
        <f t="shared" si="104"/>
        <v>х</v>
      </c>
      <c r="AF124" s="27" t="str">
        <f t="shared" si="104"/>
        <v>х</v>
      </c>
      <c r="AG124" s="27" t="str">
        <f t="shared" si="97"/>
        <v>нет</v>
      </c>
      <c r="AH124" s="27" t="str">
        <f t="shared" si="105"/>
        <v>х</v>
      </c>
      <c r="AI124" s="27" t="str">
        <f t="shared" si="105"/>
        <v>х</v>
      </c>
      <c r="AJ124" s="27" t="str">
        <f t="shared" si="105"/>
        <v>х</v>
      </c>
      <c r="AK124" s="28" t="str">
        <f>"2008"</f>
        <v>2008</v>
      </c>
      <c r="AL124" s="27" t="str">
        <f>"17,00"</f>
        <v>17,00</v>
      </c>
      <c r="AM124" s="27" t="str">
        <f>"2041-2043"</f>
        <v>2041-2043</v>
      </c>
      <c r="AN124" s="30" t="str">
        <f t="shared" ref="AN124:AN130" si="110">"нет"</f>
        <v>нет</v>
      </c>
      <c r="AO124" s="27" t="str">
        <f>""</f>
        <v/>
      </c>
      <c r="AP124" s="27" t="str">
        <f>""</f>
        <v/>
      </c>
      <c r="AQ124" s="27" t="str">
        <f>""</f>
        <v/>
      </c>
      <c r="AR124" s="27" t="str">
        <f t="shared" si="93"/>
        <v>нет</v>
      </c>
      <c r="AS124" s="27" t="str">
        <f>""</f>
        <v/>
      </c>
      <c r="AT124" s="27" t="str">
        <f>""</f>
        <v/>
      </c>
      <c r="AU124" s="27" t="str">
        <f>""</f>
        <v/>
      </c>
      <c r="AV124" s="27" t="str">
        <f>"2008"</f>
        <v>2008</v>
      </c>
      <c r="AW124" s="27" t="str">
        <f>"10,00"</f>
        <v>10,00</v>
      </c>
      <c r="AX124" s="27" t="str">
        <f>"2045-2047"</f>
        <v>2045-2047</v>
      </c>
      <c r="AY124" s="27" t="str">
        <f t="shared" si="94"/>
        <v>нет</v>
      </c>
      <c r="AZ124" s="27" t="str">
        <f>""</f>
        <v/>
      </c>
      <c r="BA124" s="27" t="str">
        <f>""</f>
        <v/>
      </c>
      <c r="BB124" s="27" t="str">
        <f>""</f>
        <v/>
      </c>
      <c r="BC124" s="27" t="str">
        <f t="shared" si="95"/>
        <v>нет</v>
      </c>
      <c r="BD124" s="27" t="str">
        <f>""</f>
        <v/>
      </c>
      <c r="BE124" s="27" t="str">
        <f>""</f>
        <v/>
      </c>
      <c r="BF124" s="27" t="str">
        <f>""</f>
        <v/>
      </c>
      <c r="BG124" s="27" t="str">
        <f>""</f>
        <v/>
      </c>
      <c r="BH124" s="27" t="str">
        <f>"62,00"</f>
        <v>62,00</v>
      </c>
      <c r="BI124" s="27" t="str">
        <f>"2036-2038"</f>
        <v>2036-2038</v>
      </c>
      <c r="BJ124" s="27" t="str">
        <f t="shared" si="102"/>
        <v>нет</v>
      </c>
      <c r="BK124" s="27" t="str">
        <f t="shared" si="92"/>
        <v>x</v>
      </c>
      <c r="BL124" s="27" t="str">
        <f>"53,00"</f>
        <v>53,00</v>
      </c>
      <c r="BM124" s="27" t="str">
        <f>"2022-2024"</f>
        <v>2022-2024</v>
      </c>
      <c r="BN124" s="27" t="str">
        <f>""</f>
        <v/>
      </c>
      <c r="BO124" s="27" t="str">
        <f>"65,00"</f>
        <v>65,00</v>
      </c>
      <c r="BP124" s="27" t="str">
        <f>"2018-2020"</f>
        <v>2018-2020</v>
      </c>
      <c r="BQ124" s="27" t="str">
        <f>""</f>
        <v/>
      </c>
      <c r="BR124" s="27" t="str">
        <f>"53,00"</f>
        <v>53,00</v>
      </c>
      <c r="BS124" s="27" t="str">
        <f>"2022-2024"</f>
        <v>2022-2024</v>
      </c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  <c r="CO124" s="11"/>
      <c r="CP124" s="11"/>
      <c r="CQ124" s="11"/>
      <c r="CR124" s="11"/>
      <c r="CS124" s="11"/>
      <c r="CT124" s="11"/>
      <c r="CU124" s="11"/>
      <c r="CV124" s="11"/>
      <c r="CW124" s="11"/>
      <c r="CX124" s="11"/>
      <c r="CY124" s="11"/>
      <c r="CZ124" s="11"/>
      <c r="DA124" s="11"/>
      <c r="DB124" s="11"/>
      <c r="DC124" s="11"/>
      <c r="DD124" s="11"/>
      <c r="DE124" s="11"/>
      <c r="DF124" s="11"/>
      <c r="DG124" s="11"/>
      <c r="DH124" s="11"/>
      <c r="DI124" s="11"/>
      <c r="DJ124" s="11"/>
      <c r="DK124" s="11"/>
      <c r="DL124" s="11"/>
      <c r="DM124" s="11"/>
      <c r="DN124" s="11"/>
      <c r="DO124" s="11"/>
    </row>
    <row r="125" spans="1:119" s="10" customFormat="1" ht="11.25" customHeight="1">
      <c r="A125" s="24" t="str">
        <f>"1.112"</f>
        <v>1.112</v>
      </c>
      <c r="B125" s="25" t="str">
        <f>"г. Кириллов, ул. Советская, д.29А"</f>
        <v>г. Кириллов, ул. Советская, д.29А</v>
      </c>
      <c r="C125" s="26" t="str">
        <f>"1987"</f>
        <v>1987</v>
      </c>
      <c r="D125" s="27" t="str">
        <f>""</f>
        <v/>
      </c>
      <c r="E125" s="27" t="str">
        <f>"90,00"</f>
        <v>90,00</v>
      </c>
      <c r="F125" s="27" t="str">
        <f>"2022-2024"</f>
        <v>2022-2024</v>
      </c>
      <c r="G125" s="27" t="str">
        <f t="shared" si="85"/>
        <v>да</v>
      </c>
      <c r="H125" s="27" t="str">
        <f>"2011"</f>
        <v>2011</v>
      </c>
      <c r="I125" s="27" t="str">
        <f>"13,00"</f>
        <v>13,00</v>
      </c>
      <c r="J125" s="27" t="str">
        <f>"2027-2029"</f>
        <v>2027-2029</v>
      </c>
      <c r="K125" s="27" t="str">
        <f t="shared" si="98"/>
        <v>нет</v>
      </c>
      <c r="L125" s="27" t="str">
        <f>""</f>
        <v/>
      </c>
      <c r="M125" s="27" t="str">
        <f>""</f>
        <v/>
      </c>
      <c r="N125" s="27" t="str">
        <f>""</f>
        <v/>
      </c>
      <c r="O125" s="28" t="str">
        <f>""</f>
        <v/>
      </c>
      <c r="P125" s="27" t="str">
        <f>""</f>
        <v/>
      </c>
      <c r="Q125" s="27" t="str">
        <f>""</f>
        <v/>
      </c>
      <c r="R125" s="27" t="str">
        <f t="shared" si="109"/>
        <v>нет</v>
      </c>
      <c r="S125" s="27" t="str">
        <f>""</f>
        <v/>
      </c>
      <c r="T125" s="27" t="str">
        <f>""</f>
        <v/>
      </c>
      <c r="U125" s="27" t="str">
        <f>""</f>
        <v/>
      </c>
      <c r="V125" s="27" t="str">
        <f t="shared" si="99"/>
        <v>нет</v>
      </c>
      <c r="W125" s="27" t="str">
        <f>""</f>
        <v/>
      </c>
      <c r="X125" s="27" t="str">
        <f>""</f>
        <v/>
      </c>
      <c r="Y125" s="29" t="str">
        <f>""</f>
        <v/>
      </c>
      <c r="Z125" s="27" t="str">
        <f t="shared" si="101"/>
        <v>х</v>
      </c>
      <c r="AA125" s="27" t="str">
        <f t="shared" si="108"/>
        <v>х</v>
      </c>
      <c r="AB125" s="27" t="str">
        <f t="shared" si="108"/>
        <v>х</v>
      </c>
      <c r="AC125" s="27" t="str">
        <f t="shared" si="96"/>
        <v>нет</v>
      </c>
      <c r="AD125" s="27" t="str">
        <f t="shared" si="104"/>
        <v>х</v>
      </c>
      <c r="AE125" s="27" t="str">
        <f t="shared" si="104"/>
        <v>х</v>
      </c>
      <c r="AF125" s="27" t="str">
        <f t="shared" si="104"/>
        <v>х</v>
      </c>
      <c r="AG125" s="27" t="str">
        <f t="shared" si="97"/>
        <v>нет</v>
      </c>
      <c r="AH125" s="27" t="str">
        <f t="shared" si="105"/>
        <v>х</v>
      </c>
      <c r="AI125" s="27" t="str">
        <f t="shared" si="105"/>
        <v>х</v>
      </c>
      <c r="AJ125" s="27" t="str">
        <f t="shared" si="105"/>
        <v>х</v>
      </c>
      <c r="AK125" s="28" t="str">
        <f t="shared" ref="AK125:AM127" si="111">"х"</f>
        <v>х</v>
      </c>
      <c r="AL125" s="27" t="str">
        <f t="shared" si="111"/>
        <v>х</v>
      </c>
      <c r="AM125" s="27" t="str">
        <f t="shared" si="111"/>
        <v>х</v>
      </c>
      <c r="AN125" s="30" t="str">
        <f t="shared" si="110"/>
        <v>нет</v>
      </c>
      <c r="AO125" s="27" t="str">
        <f t="shared" ref="AO125:AQ127" si="112">"х"</f>
        <v>х</v>
      </c>
      <c r="AP125" s="27" t="str">
        <f t="shared" si="112"/>
        <v>х</v>
      </c>
      <c r="AQ125" s="27" t="str">
        <f t="shared" si="112"/>
        <v>х</v>
      </c>
      <c r="AR125" s="27" t="str">
        <f t="shared" si="93"/>
        <v>нет</v>
      </c>
      <c r="AS125" s="27" t="str">
        <f t="shared" ref="AS125:AU127" si="113">"х"</f>
        <v>х</v>
      </c>
      <c r="AT125" s="27" t="str">
        <f t="shared" si="113"/>
        <v>х</v>
      </c>
      <c r="AU125" s="27" t="str">
        <f t="shared" si="113"/>
        <v>х</v>
      </c>
      <c r="AV125" s="27" t="str">
        <f t="shared" ref="AV125:AX127" si="114">"х"</f>
        <v>х</v>
      </c>
      <c r="AW125" s="27" t="str">
        <f t="shared" si="114"/>
        <v>х</v>
      </c>
      <c r="AX125" s="27" t="str">
        <f t="shared" si="114"/>
        <v>х</v>
      </c>
      <c r="AY125" s="27" t="str">
        <f t="shared" si="94"/>
        <v>нет</v>
      </c>
      <c r="AZ125" s="27" t="str">
        <f t="shared" ref="AZ125:BB127" si="115">"х"</f>
        <v>х</v>
      </c>
      <c r="BA125" s="27" t="str">
        <f t="shared" si="115"/>
        <v>х</v>
      </c>
      <c r="BB125" s="27" t="str">
        <f t="shared" si="115"/>
        <v>х</v>
      </c>
      <c r="BC125" s="27" t="str">
        <f t="shared" si="95"/>
        <v>нет</v>
      </c>
      <c r="BD125" s="27" t="str">
        <f t="shared" ref="BD125:BF127" si="116">"х"</f>
        <v>х</v>
      </c>
      <c r="BE125" s="27" t="str">
        <f t="shared" si="116"/>
        <v>х</v>
      </c>
      <c r="BF125" s="27" t="str">
        <f t="shared" si="116"/>
        <v>х</v>
      </c>
      <c r="BG125" s="27" t="str">
        <f>""</f>
        <v/>
      </c>
      <c r="BH125" s="27" t="str">
        <f>"65,00"</f>
        <v>65,00</v>
      </c>
      <c r="BI125" s="27" t="str">
        <f>"2025-2027"</f>
        <v>2025-2027</v>
      </c>
      <c r="BJ125" s="27" t="str">
        <f t="shared" si="102"/>
        <v>нет</v>
      </c>
      <c r="BK125" s="27" t="str">
        <f t="shared" si="92"/>
        <v>x</v>
      </c>
      <c r="BL125" s="27" t="str">
        <f>"52,00"</f>
        <v>52,00</v>
      </c>
      <c r="BM125" s="27" t="str">
        <f>"2022-2024"</f>
        <v>2022-2024</v>
      </c>
      <c r="BN125" s="27" t="str">
        <f>""</f>
        <v/>
      </c>
      <c r="BO125" s="27" t="str">
        <f>"65,00"</f>
        <v>65,00</v>
      </c>
      <c r="BP125" s="27" t="str">
        <f>"2018-2020"</f>
        <v>2018-2020</v>
      </c>
      <c r="BQ125" s="27" t="str">
        <f>""</f>
        <v/>
      </c>
      <c r="BR125" s="27" t="str">
        <f>"52,00"</f>
        <v>52,00</v>
      </c>
      <c r="BS125" s="27" t="str">
        <f>"2022-2024"</f>
        <v>2022-2024</v>
      </c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  <c r="CP125" s="11"/>
      <c r="CQ125" s="11"/>
      <c r="CR125" s="11"/>
      <c r="CS125" s="11"/>
      <c r="CT125" s="11"/>
      <c r="CU125" s="11"/>
      <c r="CV125" s="11"/>
      <c r="CW125" s="11"/>
      <c r="CX125" s="11"/>
      <c r="CY125" s="11"/>
      <c r="CZ125" s="11"/>
      <c r="DA125" s="11"/>
      <c r="DB125" s="11"/>
      <c r="DC125" s="11"/>
      <c r="DD125" s="11"/>
      <c r="DE125" s="11"/>
      <c r="DF125" s="11"/>
      <c r="DG125" s="11"/>
      <c r="DH125" s="11"/>
      <c r="DI125" s="11"/>
      <c r="DJ125" s="11"/>
      <c r="DK125" s="11"/>
      <c r="DL125" s="11"/>
      <c r="DM125" s="11"/>
      <c r="DN125" s="11"/>
      <c r="DO125" s="11"/>
    </row>
    <row r="126" spans="1:119" s="10" customFormat="1" ht="11.25" customHeight="1">
      <c r="A126" s="24" t="str">
        <f>"1.113"</f>
        <v>1.113</v>
      </c>
      <c r="B126" s="25" t="str">
        <f>"г. Кириллов, ул. Советская, д.33А"</f>
        <v>г. Кириллов, ул. Советская, д.33А</v>
      </c>
      <c r="C126" s="26" t="str">
        <f>"1987"</f>
        <v>1987</v>
      </c>
      <c r="D126" s="27" t="str">
        <f>""</f>
        <v/>
      </c>
      <c r="E126" s="27" t="str">
        <f>"90,00"</f>
        <v>90,00</v>
      </c>
      <c r="F126" s="27" t="str">
        <f>"2031-2033"</f>
        <v>2031-2033</v>
      </c>
      <c r="G126" s="27" t="str">
        <f t="shared" si="85"/>
        <v>да</v>
      </c>
      <c r="H126" s="27" t="str">
        <f>"2012"</f>
        <v>2012</v>
      </c>
      <c r="I126" s="27" t="str">
        <f>"6,00"</f>
        <v>6,00</v>
      </c>
      <c r="J126" s="27" t="str">
        <f>"2028-2030"</f>
        <v>2028-2030</v>
      </c>
      <c r="K126" s="27" t="str">
        <f t="shared" si="98"/>
        <v>нет</v>
      </c>
      <c r="L126" s="27" t="str">
        <f>""</f>
        <v/>
      </c>
      <c r="M126" s="27" t="str">
        <f>""</f>
        <v/>
      </c>
      <c r="N126" s="27" t="str">
        <f>""</f>
        <v/>
      </c>
      <c r="O126" s="28" t="str">
        <f>""</f>
        <v/>
      </c>
      <c r="P126" s="27" t="str">
        <f>""</f>
        <v/>
      </c>
      <c r="Q126" s="27" t="str">
        <f>""</f>
        <v/>
      </c>
      <c r="R126" s="27" t="str">
        <f t="shared" si="109"/>
        <v>нет</v>
      </c>
      <c r="S126" s="27" t="str">
        <f>""</f>
        <v/>
      </c>
      <c r="T126" s="27" t="str">
        <f>""</f>
        <v/>
      </c>
      <c r="U126" s="27" t="str">
        <f>""</f>
        <v/>
      </c>
      <c r="V126" s="27" t="str">
        <f t="shared" si="99"/>
        <v>нет</v>
      </c>
      <c r="W126" s="27" t="str">
        <f>""</f>
        <v/>
      </c>
      <c r="X126" s="27" t="str">
        <f>""</f>
        <v/>
      </c>
      <c r="Y126" s="29" t="str">
        <f>""</f>
        <v/>
      </c>
      <c r="Z126" s="27" t="str">
        <f t="shared" si="101"/>
        <v>х</v>
      </c>
      <c r="AA126" s="27" t="str">
        <f t="shared" si="108"/>
        <v>х</v>
      </c>
      <c r="AB126" s="27" t="str">
        <f t="shared" si="108"/>
        <v>х</v>
      </c>
      <c r="AC126" s="27" t="str">
        <f t="shared" si="96"/>
        <v>нет</v>
      </c>
      <c r="AD126" s="27" t="str">
        <f t="shared" si="104"/>
        <v>х</v>
      </c>
      <c r="AE126" s="27" t="str">
        <f t="shared" si="104"/>
        <v>х</v>
      </c>
      <c r="AF126" s="27" t="str">
        <f t="shared" si="104"/>
        <v>х</v>
      </c>
      <c r="AG126" s="27" t="str">
        <f t="shared" si="97"/>
        <v>нет</v>
      </c>
      <c r="AH126" s="27" t="str">
        <f t="shared" si="105"/>
        <v>х</v>
      </c>
      <c r="AI126" s="27" t="str">
        <f t="shared" si="105"/>
        <v>х</v>
      </c>
      <c r="AJ126" s="27" t="str">
        <f t="shared" si="105"/>
        <v>х</v>
      </c>
      <c r="AK126" s="28" t="str">
        <f t="shared" si="111"/>
        <v>х</v>
      </c>
      <c r="AL126" s="27" t="str">
        <f t="shared" si="111"/>
        <v>х</v>
      </c>
      <c r="AM126" s="27" t="str">
        <f t="shared" si="111"/>
        <v>х</v>
      </c>
      <c r="AN126" s="30" t="str">
        <f t="shared" si="110"/>
        <v>нет</v>
      </c>
      <c r="AO126" s="27" t="str">
        <f t="shared" si="112"/>
        <v>х</v>
      </c>
      <c r="AP126" s="27" t="str">
        <f t="shared" si="112"/>
        <v>х</v>
      </c>
      <c r="AQ126" s="27" t="str">
        <f t="shared" si="112"/>
        <v>х</v>
      </c>
      <c r="AR126" s="27" t="str">
        <f t="shared" si="93"/>
        <v>нет</v>
      </c>
      <c r="AS126" s="27" t="str">
        <f t="shared" si="113"/>
        <v>х</v>
      </c>
      <c r="AT126" s="27" t="str">
        <f t="shared" si="113"/>
        <v>х</v>
      </c>
      <c r="AU126" s="27" t="str">
        <f t="shared" si="113"/>
        <v>х</v>
      </c>
      <c r="AV126" s="27" t="str">
        <f t="shared" si="114"/>
        <v>х</v>
      </c>
      <c r="AW126" s="27" t="str">
        <f t="shared" si="114"/>
        <v>х</v>
      </c>
      <c r="AX126" s="27" t="str">
        <f t="shared" si="114"/>
        <v>х</v>
      </c>
      <c r="AY126" s="27" t="str">
        <f t="shared" si="94"/>
        <v>нет</v>
      </c>
      <c r="AZ126" s="27" t="str">
        <f t="shared" si="115"/>
        <v>х</v>
      </c>
      <c r="BA126" s="27" t="str">
        <f t="shared" si="115"/>
        <v>х</v>
      </c>
      <c r="BB126" s="27" t="str">
        <f t="shared" si="115"/>
        <v>х</v>
      </c>
      <c r="BC126" s="27" t="str">
        <f t="shared" si="95"/>
        <v>нет</v>
      </c>
      <c r="BD126" s="27" t="str">
        <f t="shared" si="116"/>
        <v>х</v>
      </c>
      <c r="BE126" s="27" t="str">
        <f t="shared" si="116"/>
        <v>х</v>
      </c>
      <c r="BF126" s="27" t="str">
        <f t="shared" si="116"/>
        <v>х</v>
      </c>
      <c r="BG126" s="27" t="str">
        <f>""</f>
        <v/>
      </c>
      <c r="BH126" s="27" t="str">
        <f>"62,00"</f>
        <v>62,00</v>
      </c>
      <c r="BI126" s="27" t="str">
        <f>"2037-2039"</f>
        <v>2037-2039</v>
      </c>
      <c r="BJ126" s="27" t="str">
        <f t="shared" si="102"/>
        <v>нет</v>
      </c>
      <c r="BK126" s="27" t="str">
        <f t="shared" si="92"/>
        <v>x</v>
      </c>
      <c r="BL126" s="27" t="str">
        <f>"52,00"</f>
        <v>52,00</v>
      </c>
      <c r="BM126" s="27" t="str">
        <f>"2022-2024"</f>
        <v>2022-2024</v>
      </c>
      <c r="BN126" s="27" t="str">
        <f>""</f>
        <v/>
      </c>
      <c r="BO126" s="27" t="str">
        <f>"65,00"</f>
        <v>65,00</v>
      </c>
      <c r="BP126" s="27" t="str">
        <f>"2018-2020"</f>
        <v>2018-2020</v>
      </c>
      <c r="BQ126" s="27" t="str">
        <f>""</f>
        <v/>
      </c>
      <c r="BR126" s="27" t="str">
        <f>"52,00"</f>
        <v>52,00</v>
      </c>
      <c r="BS126" s="27" t="str">
        <f>"2022-2024"</f>
        <v>2022-2024</v>
      </c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  <c r="CP126" s="11"/>
      <c r="CQ126" s="11"/>
      <c r="CR126" s="11"/>
      <c r="CS126" s="11"/>
      <c r="CT126" s="11"/>
      <c r="CU126" s="11"/>
      <c r="CV126" s="11"/>
      <c r="CW126" s="11"/>
      <c r="CX126" s="11"/>
      <c r="CY126" s="11"/>
      <c r="CZ126" s="11"/>
      <c r="DA126" s="11"/>
      <c r="DB126" s="11"/>
      <c r="DC126" s="11"/>
      <c r="DD126" s="11"/>
      <c r="DE126" s="11"/>
      <c r="DF126" s="11"/>
      <c r="DG126" s="11"/>
      <c r="DH126" s="11"/>
      <c r="DI126" s="11"/>
      <c r="DJ126" s="11"/>
      <c r="DK126" s="11"/>
      <c r="DL126" s="11"/>
      <c r="DM126" s="11"/>
      <c r="DN126" s="11"/>
      <c r="DO126" s="11"/>
    </row>
    <row r="127" spans="1:119" s="10" customFormat="1" ht="11.25" customHeight="1">
      <c r="A127" s="24" t="str">
        <f>"1.114"</f>
        <v>1.114</v>
      </c>
      <c r="B127" s="25" t="str">
        <f>"г. Кириллов, ул. Советская, д.35А"</f>
        <v>г. Кириллов, ул. Советская, д.35А</v>
      </c>
      <c r="C127" s="26" t="str">
        <f>"1987"</f>
        <v>1987</v>
      </c>
      <c r="D127" s="27" t="str">
        <f>""</f>
        <v/>
      </c>
      <c r="E127" s="27" t="str">
        <f>"85,00"</f>
        <v>85,00</v>
      </c>
      <c r="F127" s="27" t="str">
        <f>"2022-2024"</f>
        <v>2022-2024</v>
      </c>
      <c r="G127" s="27" t="str">
        <f>"нет"</f>
        <v>нет</v>
      </c>
      <c r="H127" s="27" t="str">
        <f>""</f>
        <v/>
      </c>
      <c r="I127" s="27" t="str">
        <f>""</f>
        <v/>
      </c>
      <c r="J127" s="27" t="str">
        <f>""</f>
        <v/>
      </c>
      <c r="K127" s="27" t="str">
        <f t="shared" si="98"/>
        <v>нет</v>
      </c>
      <c r="L127" s="27" t="str">
        <f>""</f>
        <v/>
      </c>
      <c r="M127" s="27" t="str">
        <f>""</f>
        <v/>
      </c>
      <c r="N127" s="27" t="str">
        <f>""</f>
        <v/>
      </c>
      <c r="O127" s="28" t="str">
        <f>""</f>
        <v/>
      </c>
      <c r="P127" s="27" t="str">
        <f>""</f>
        <v/>
      </c>
      <c r="Q127" s="27" t="str">
        <f>""</f>
        <v/>
      </c>
      <c r="R127" s="27" t="str">
        <f t="shared" si="109"/>
        <v>нет</v>
      </c>
      <c r="S127" s="27" t="str">
        <f>""</f>
        <v/>
      </c>
      <c r="T127" s="27" t="str">
        <f>""</f>
        <v/>
      </c>
      <c r="U127" s="27" t="str">
        <f>""</f>
        <v/>
      </c>
      <c r="V127" s="27" t="str">
        <f t="shared" si="99"/>
        <v>нет</v>
      </c>
      <c r="W127" s="27" t="str">
        <f>""</f>
        <v/>
      </c>
      <c r="X127" s="27" t="str">
        <f>""</f>
        <v/>
      </c>
      <c r="Y127" s="29" t="str">
        <f>""</f>
        <v/>
      </c>
      <c r="Z127" s="27" t="str">
        <f t="shared" si="101"/>
        <v>х</v>
      </c>
      <c r="AA127" s="27" t="str">
        <f t="shared" si="108"/>
        <v>х</v>
      </c>
      <c r="AB127" s="27" t="str">
        <f t="shared" si="108"/>
        <v>х</v>
      </c>
      <c r="AC127" s="27" t="str">
        <f t="shared" si="96"/>
        <v>нет</v>
      </c>
      <c r="AD127" s="27" t="str">
        <f t="shared" si="104"/>
        <v>х</v>
      </c>
      <c r="AE127" s="27" t="str">
        <f t="shared" si="104"/>
        <v>х</v>
      </c>
      <c r="AF127" s="27" t="str">
        <f t="shared" si="104"/>
        <v>х</v>
      </c>
      <c r="AG127" s="27" t="str">
        <f t="shared" si="97"/>
        <v>нет</v>
      </c>
      <c r="AH127" s="27" t="str">
        <f t="shared" si="105"/>
        <v>х</v>
      </c>
      <c r="AI127" s="27" t="str">
        <f t="shared" si="105"/>
        <v>х</v>
      </c>
      <c r="AJ127" s="27" t="str">
        <f t="shared" si="105"/>
        <v>х</v>
      </c>
      <c r="AK127" s="28" t="str">
        <f t="shared" si="111"/>
        <v>х</v>
      </c>
      <c r="AL127" s="27" t="str">
        <f t="shared" si="111"/>
        <v>х</v>
      </c>
      <c r="AM127" s="27" t="str">
        <f t="shared" si="111"/>
        <v>х</v>
      </c>
      <c r="AN127" s="30" t="str">
        <f t="shared" si="110"/>
        <v>нет</v>
      </c>
      <c r="AO127" s="27" t="str">
        <f t="shared" si="112"/>
        <v>х</v>
      </c>
      <c r="AP127" s="27" t="str">
        <f t="shared" si="112"/>
        <v>х</v>
      </c>
      <c r="AQ127" s="27" t="str">
        <f t="shared" si="112"/>
        <v>х</v>
      </c>
      <c r="AR127" s="27" t="str">
        <f t="shared" si="93"/>
        <v>нет</v>
      </c>
      <c r="AS127" s="27" t="str">
        <f t="shared" si="113"/>
        <v>х</v>
      </c>
      <c r="AT127" s="27" t="str">
        <f t="shared" si="113"/>
        <v>х</v>
      </c>
      <c r="AU127" s="27" t="str">
        <f t="shared" si="113"/>
        <v>х</v>
      </c>
      <c r="AV127" s="27" t="str">
        <f t="shared" si="114"/>
        <v>х</v>
      </c>
      <c r="AW127" s="27" t="str">
        <f t="shared" si="114"/>
        <v>х</v>
      </c>
      <c r="AX127" s="27" t="str">
        <f t="shared" si="114"/>
        <v>х</v>
      </c>
      <c r="AY127" s="27" t="str">
        <f t="shared" si="94"/>
        <v>нет</v>
      </c>
      <c r="AZ127" s="27" t="str">
        <f t="shared" si="115"/>
        <v>х</v>
      </c>
      <c r="BA127" s="27" t="str">
        <f t="shared" si="115"/>
        <v>х</v>
      </c>
      <c r="BB127" s="27" t="str">
        <f t="shared" si="115"/>
        <v>х</v>
      </c>
      <c r="BC127" s="27" t="str">
        <f t="shared" si="95"/>
        <v>нет</v>
      </c>
      <c r="BD127" s="27" t="str">
        <f t="shared" si="116"/>
        <v>х</v>
      </c>
      <c r="BE127" s="27" t="str">
        <f t="shared" si="116"/>
        <v>х</v>
      </c>
      <c r="BF127" s="27" t="str">
        <f t="shared" si="116"/>
        <v>х</v>
      </c>
      <c r="BG127" s="27" t="str">
        <f>""</f>
        <v/>
      </c>
      <c r="BH127" s="27" t="str">
        <f>"62,00"</f>
        <v>62,00</v>
      </c>
      <c r="BI127" s="27" t="str">
        <f>"2025-2027"</f>
        <v>2025-2027</v>
      </c>
      <c r="BJ127" s="27" t="str">
        <f t="shared" si="102"/>
        <v>нет</v>
      </c>
      <c r="BK127" s="27" t="str">
        <f t="shared" si="92"/>
        <v>x</v>
      </c>
      <c r="BL127" s="27" t="str">
        <f>"52,00"</f>
        <v>52,00</v>
      </c>
      <c r="BM127" s="27" t="str">
        <f>"2021-2023"</f>
        <v>2021-2023</v>
      </c>
      <c r="BN127" s="27" t="str">
        <f>""</f>
        <v/>
      </c>
      <c r="BO127" s="27" t="str">
        <f>"60,00"</f>
        <v>60,00</v>
      </c>
      <c r="BP127" s="27" t="str">
        <f>"2018-2020"</f>
        <v>2018-2020</v>
      </c>
      <c r="BQ127" s="27" t="str">
        <f>""</f>
        <v/>
      </c>
      <c r="BR127" s="27" t="str">
        <f>"52,00"</f>
        <v>52,00</v>
      </c>
      <c r="BS127" s="27" t="str">
        <f>"2021-2023"</f>
        <v>2021-2023</v>
      </c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  <c r="CO127" s="11"/>
      <c r="CP127" s="11"/>
      <c r="CQ127" s="11"/>
      <c r="CR127" s="11"/>
      <c r="CS127" s="11"/>
      <c r="CT127" s="11"/>
      <c r="CU127" s="11"/>
      <c r="CV127" s="11"/>
      <c r="CW127" s="11"/>
      <c r="CX127" s="11"/>
      <c r="CY127" s="11"/>
      <c r="CZ127" s="11"/>
      <c r="DA127" s="11"/>
      <c r="DB127" s="11"/>
      <c r="DC127" s="11"/>
      <c r="DD127" s="11"/>
      <c r="DE127" s="11"/>
      <c r="DF127" s="11"/>
      <c r="DG127" s="11"/>
      <c r="DH127" s="11"/>
      <c r="DI127" s="11"/>
      <c r="DJ127" s="11"/>
      <c r="DK127" s="11"/>
      <c r="DL127" s="11"/>
      <c r="DM127" s="11"/>
      <c r="DN127" s="11"/>
      <c r="DO127" s="11"/>
    </row>
    <row r="128" spans="1:119" s="9" customFormat="1" ht="11.25" customHeight="1">
      <c r="A128" s="24" t="str">
        <f>"1.115"</f>
        <v>1.115</v>
      </c>
      <c r="B128" s="25" t="str">
        <f>"г. Кириллов, ул. Строителей, д.36"</f>
        <v>г. Кириллов, ул. Строителей, д.36</v>
      </c>
      <c r="C128" s="26" t="str">
        <f>"1973"</f>
        <v>1973</v>
      </c>
      <c r="D128" s="27" t="str">
        <f>"2011"</f>
        <v>2011</v>
      </c>
      <c r="E128" s="27" t="str">
        <f>"10,00"</f>
        <v>10,00</v>
      </c>
      <c r="F128" s="27" t="str">
        <f>"2040-2042"</f>
        <v>2040-2042</v>
      </c>
      <c r="G128" s="27" t="str">
        <f t="shared" ref="G128:G140" si="117">"да"</f>
        <v>да</v>
      </c>
      <c r="H128" s="27" t="str">
        <f>"2011"</f>
        <v>2011</v>
      </c>
      <c r="I128" s="27" t="str">
        <f>"13,00"</f>
        <v>13,00</v>
      </c>
      <c r="J128" s="27" t="str">
        <f>"2027-2029"</f>
        <v>2027-2029</v>
      </c>
      <c r="K128" s="27" t="str">
        <f t="shared" si="98"/>
        <v>нет</v>
      </c>
      <c r="L128" s="27" t="str">
        <f>""</f>
        <v/>
      </c>
      <c r="M128" s="27" t="str">
        <f>""</f>
        <v/>
      </c>
      <c r="N128" s="27" t="str">
        <f>""</f>
        <v/>
      </c>
      <c r="O128" s="28" t="str">
        <f>""</f>
        <v/>
      </c>
      <c r="P128" s="27" t="str">
        <f>""</f>
        <v/>
      </c>
      <c r="Q128" s="27" t="str">
        <f>""</f>
        <v/>
      </c>
      <c r="R128" s="27" t="str">
        <f t="shared" si="109"/>
        <v>нет</v>
      </c>
      <c r="S128" s="27" t="str">
        <f>""</f>
        <v/>
      </c>
      <c r="T128" s="27" t="str">
        <f>""</f>
        <v/>
      </c>
      <c r="U128" s="27" t="str">
        <f>""</f>
        <v/>
      </c>
      <c r="V128" s="27" t="str">
        <f t="shared" si="99"/>
        <v>нет</v>
      </c>
      <c r="W128" s="27" t="str">
        <f>""</f>
        <v/>
      </c>
      <c r="X128" s="27" t="str">
        <f>""</f>
        <v/>
      </c>
      <c r="Y128" s="29" t="str">
        <f>""</f>
        <v/>
      </c>
      <c r="Z128" s="27" t="str">
        <f t="shared" si="101"/>
        <v>х</v>
      </c>
      <c r="AA128" s="27" t="str">
        <f t="shared" si="108"/>
        <v>х</v>
      </c>
      <c r="AB128" s="27" t="str">
        <f t="shared" si="108"/>
        <v>х</v>
      </c>
      <c r="AC128" s="27" t="str">
        <f t="shared" si="96"/>
        <v>нет</v>
      </c>
      <c r="AD128" s="27" t="str">
        <f t="shared" si="104"/>
        <v>х</v>
      </c>
      <c r="AE128" s="27" t="str">
        <f t="shared" si="104"/>
        <v>х</v>
      </c>
      <c r="AF128" s="27" t="str">
        <f t="shared" si="104"/>
        <v>х</v>
      </c>
      <c r="AG128" s="27" t="str">
        <f t="shared" si="97"/>
        <v>нет</v>
      </c>
      <c r="AH128" s="27" t="str">
        <f t="shared" si="105"/>
        <v>х</v>
      </c>
      <c r="AI128" s="27" t="str">
        <f t="shared" si="105"/>
        <v>х</v>
      </c>
      <c r="AJ128" s="27" t="str">
        <f t="shared" si="105"/>
        <v>х</v>
      </c>
      <c r="AK128" s="28" t="str">
        <f>""</f>
        <v/>
      </c>
      <c r="AL128" s="27" t="str">
        <f>"90,00"</f>
        <v>90,00</v>
      </c>
      <c r="AM128" s="27" t="str">
        <f>"2016-2018"</f>
        <v>2016-2018</v>
      </c>
      <c r="AN128" s="30" t="str">
        <f t="shared" si="110"/>
        <v>нет</v>
      </c>
      <c r="AO128" s="27" t="str">
        <f>""</f>
        <v/>
      </c>
      <c r="AP128" s="27" t="str">
        <f>""</f>
        <v/>
      </c>
      <c r="AQ128" s="27" t="str">
        <f>""</f>
        <v/>
      </c>
      <c r="AR128" s="27" t="str">
        <f t="shared" si="93"/>
        <v>нет</v>
      </c>
      <c r="AS128" s="27" t="str">
        <f>""</f>
        <v/>
      </c>
      <c r="AT128" s="27" t="str">
        <f>""</f>
        <v/>
      </c>
      <c r="AU128" s="27" t="str">
        <f>""</f>
        <v/>
      </c>
      <c r="AV128" s="27" t="str">
        <f>""</f>
        <v/>
      </c>
      <c r="AW128" s="27" t="str">
        <f>"80,00"</f>
        <v>80,00</v>
      </c>
      <c r="AX128" s="27" t="str">
        <f>"2020-2022"</f>
        <v>2020-2022</v>
      </c>
      <c r="AY128" s="27" t="str">
        <f t="shared" si="94"/>
        <v>нет</v>
      </c>
      <c r="AZ128" s="27" t="str">
        <f>""</f>
        <v/>
      </c>
      <c r="BA128" s="27" t="str">
        <f>""</f>
        <v/>
      </c>
      <c r="BB128" s="27" t="str">
        <f>""</f>
        <v/>
      </c>
      <c r="BC128" s="27" t="str">
        <f t="shared" si="95"/>
        <v>нет</v>
      </c>
      <c r="BD128" s="27" t="str">
        <f>""</f>
        <v/>
      </c>
      <c r="BE128" s="27" t="str">
        <f>""</f>
        <v/>
      </c>
      <c r="BF128" s="27" t="str">
        <f>""</f>
        <v/>
      </c>
      <c r="BG128" s="27" t="str">
        <f>""</f>
        <v/>
      </c>
      <c r="BH128" s="27" t="str">
        <f>"70,00"</f>
        <v>70,00</v>
      </c>
      <c r="BI128" s="27" t="str">
        <f>"2036-2038"</f>
        <v>2036-2038</v>
      </c>
      <c r="BJ128" s="27" t="str">
        <f t="shared" si="102"/>
        <v>нет</v>
      </c>
      <c r="BK128" s="27" t="str">
        <f t="shared" si="92"/>
        <v>x</v>
      </c>
      <c r="BL128" s="27" t="str">
        <f>"60,00"</f>
        <v>60,00</v>
      </c>
      <c r="BM128" s="27" t="str">
        <f>"2027-2029"</f>
        <v>2027-2029</v>
      </c>
      <c r="BN128" s="27" t="str">
        <f>""</f>
        <v/>
      </c>
      <c r="BO128" s="27" t="str">
        <f>"70,00"</f>
        <v>70,00</v>
      </c>
      <c r="BP128" s="27" t="str">
        <f>"2026-2028"</f>
        <v>2026-2028</v>
      </c>
      <c r="BQ128" s="27" t="str">
        <f>""</f>
        <v/>
      </c>
      <c r="BR128" s="27" t="str">
        <f>"60,00"</f>
        <v>60,00</v>
      </c>
      <c r="BS128" s="27" t="str">
        <f>"2027-2029"</f>
        <v>2027-2029</v>
      </c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/>
      <c r="DB128" s="11"/>
      <c r="DC128" s="11"/>
      <c r="DD128" s="11"/>
      <c r="DE128" s="11"/>
      <c r="DF128" s="11"/>
      <c r="DG128" s="11"/>
      <c r="DH128" s="11"/>
      <c r="DI128" s="11"/>
      <c r="DJ128" s="11"/>
      <c r="DK128" s="11"/>
      <c r="DL128" s="11"/>
      <c r="DM128" s="11"/>
      <c r="DN128" s="11"/>
      <c r="DO128" s="11"/>
    </row>
    <row r="129" spans="1:119" s="9" customFormat="1" ht="11.25" customHeight="1">
      <c r="A129" s="24" t="str">
        <f>"1.116"</f>
        <v>1.116</v>
      </c>
      <c r="B129" s="25" t="str">
        <f>"г. Кириллов, ул. Строителей, д.38"</f>
        <v>г. Кириллов, ул. Строителей, д.38</v>
      </c>
      <c r="C129" s="26" t="str">
        <f>"1973"</f>
        <v>1973</v>
      </c>
      <c r="D129" s="27" t="str">
        <f>"2011"</f>
        <v>2011</v>
      </c>
      <c r="E129" s="27" t="str">
        <f>"10,00"</f>
        <v>10,00</v>
      </c>
      <c r="F129" s="27" t="str">
        <f>"2031-2033"</f>
        <v>2031-2033</v>
      </c>
      <c r="G129" s="27" t="str">
        <f t="shared" si="117"/>
        <v>да</v>
      </c>
      <c r="H129" s="27" t="str">
        <f>"2013"</f>
        <v>2013</v>
      </c>
      <c r="I129" s="27" t="str">
        <f>"13,00"</f>
        <v>13,00</v>
      </c>
      <c r="J129" s="27" t="str">
        <f>"2029-2031"</f>
        <v>2029-2031</v>
      </c>
      <c r="K129" s="27" t="str">
        <f t="shared" si="98"/>
        <v>нет</v>
      </c>
      <c r="L129" s="27" t="str">
        <f>""</f>
        <v/>
      </c>
      <c r="M129" s="27" t="str">
        <f>""</f>
        <v/>
      </c>
      <c r="N129" s="27" t="str">
        <f>""</f>
        <v/>
      </c>
      <c r="O129" s="28" t="str">
        <f>""</f>
        <v/>
      </c>
      <c r="P129" s="27" t="str">
        <f>""</f>
        <v/>
      </c>
      <c r="Q129" s="27" t="str">
        <f>""</f>
        <v/>
      </c>
      <c r="R129" s="27" t="str">
        <f t="shared" si="109"/>
        <v>нет</v>
      </c>
      <c r="S129" s="27" t="str">
        <f>""</f>
        <v/>
      </c>
      <c r="T129" s="27" t="str">
        <f>""</f>
        <v/>
      </c>
      <c r="U129" s="27" t="str">
        <f>""</f>
        <v/>
      </c>
      <c r="V129" s="27" t="str">
        <f t="shared" si="99"/>
        <v>нет</v>
      </c>
      <c r="W129" s="27" t="str">
        <f>""</f>
        <v/>
      </c>
      <c r="X129" s="27" t="str">
        <f>""</f>
        <v/>
      </c>
      <c r="Y129" s="29" t="str">
        <f>""</f>
        <v/>
      </c>
      <c r="Z129" s="27" t="str">
        <f t="shared" si="101"/>
        <v>х</v>
      </c>
      <c r="AA129" s="27" t="str">
        <f t="shared" si="108"/>
        <v>х</v>
      </c>
      <c r="AB129" s="27" t="str">
        <f t="shared" si="108"/>
        <v>х</v>
      </c>
      <c r="AC129" s="27" t="str">
        <f t="shared" si="96"/>
        <v>нет</v>
      </c>
      <c r="AD129" s="27" t="str">
        <f t="shared" si="104"/>
        <v>х</v>
      </c>
      <c r="AE129" s="27" t="str">
        <f t="shared" si="104"/>
        <v>х</v>
      </c>
      <c r="AF129" s="27" t="str">
        <f t="shared" si="104"/>
        <v>х</v>
      </c>
      <c r="AG129" s="27" t="str">
        <f t="shared" si="97"/>
        <v>нет</v>
      </c>
      <c r="AH129" s="27" t="str">
        <f t="shared" si="105"/>
        <v>х</v>
      </c>
      <c r="AI129" s="27" t="str">
        <f t="shared" si="105"/>
        <v>х</v>
      </c>
      <c r="AJ129" s="27" t="str">
        <f t="shared" si="105"/>
        <v>х</v>
      </c>
      <c r="AK129" s="28" t="str">
        <f>""</f>
        <v/>
      </c>
      <c r="AL129" s="27" t="str">
        <f>"90,00"</f>
        <v>90,00</v>
      </c>
      <c r="AM129" s="27" t="str">
        <f>"2022-2024"</f>
        <v>2022-2024</v>
      </c>
      <c r="AN129" s="30" t="str">
        <f t="shared" si="110"/>
        <v>нет</v>
      </c>
      <c r="AO129" s="27" t="str">
        <f>""</f>
        <v/>
      </c>
      <c r="AP129" s="27" t="str">
        <f>""</f>
        <v/>
      </c>
      <c r="AQ129" s="27" t="str">
        <f>""</f>
        <v/>
      </c>
      <c r="AR129" s="27" t="str">
        <f t="shared" si="93"/>
        <v>нет</v>
      </c>
      <c r="AS129" s="27" t="str">
        <f>""</f>
        <v/>
      </c>
      <c r="AT129" s="27" t="str">
        <f>""</f>
        <v/>
      </c>
      <c r="AU129" s="27" t="str">
        <f>""</f>
        <v/>
      </c>
      <c r="AV129" s="27" t="str">
        <f>""</f>
        <v/>
      </c>
      <c r="AW129" s="27" t="str">
        <f>"80,00"</f>
        <v>80,00</v>
      </c>
      <c r="AX129" s="27" t="str">
        <f>"2019-2021"</f>
        <v>2019-2021</v>
      </c>
      <c r="AY129" s="27" t="str">
        <f t="shared" si="94"/>
        <v>нет</v>
      </c>
      <c r="AZ129" s="27" t="str">
        <f>""</f>
        <v/>
      </c>
      <c r="BA129" s="27" t="str">
        <f>""</f>
        <v/>
      </c>
      <c r="BB129" s="27" t="str">
        <f>""</f>
        <v/>
      </c>
      <c r="BC129" s="27" t="str">
        <f t="shared" si="95"/>
        <v>нет</v>
      </c>
      <c r="BD129" s="27" t="str">
        <f>""</f>
        <v/>
      </c>
      <c r="BE129" s="27" t="str">
        <f>""</f>
        <v/>
      </c>
      <c r="BF129" s="27" t="str">
        <f>""</f>
        <v/>
      </c>
      <c r="BG129" s="27" t="str">
        <f>"2006"</f>
        <v>2006</v>
      </c>
      <c r="BH129" s="27" t="str">
        <f>"47,00"</f>
        <v>47,00</v>
      </c>
      <c r="BI129" s="27" t="str">
        <f>"2027-2029"</f>
        <v>2027-2029</v>
      </c>
      <c r="BJ129" s="27" t="str">
        <f t="shared" si="102"/>
        <v>нет</v>
      </c>
      <c r="BK129" s="27" t="str">
        <f t="shared" si="92"/>
        <v>x</v>
      </c>
      <c r="BL129" s="27" t="str">
        <f>"60,00"</f>
        <v>60,00</v>
      </c>
      <c r="BM129" s="27" t="str">
        <f>"2027-2029"</f>
        <v>2027-2029</v>
      </c>
      <c r="BN129" s="27" t="str">
        <f>""</f>
        <v/>
      </c>
      <c r="BO129" s="27" t="str">
        <f>"60,00"</f>
        <v>60,00</v>
      </c>
      <c r="BP129" s="27" t="str">
        <f>"2032-2034"</f>
        <v>2032-2034</v>
      </c>
      <c r="BQ129" s="27" t="str">
        <f>""</f>
        <v/>
      </c>
      <c r="BR129" s="27" t="str">
        <f>"60,00"</f>
        <v>60,00</v>
      </c>
      <c r="BS129" s="27" t="str">
        <f>"2027-2029"</f>
        <v>2027-2029</v>
      </c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1"/>
      <c r="CE129" s="11"/>
      <c r="CF129" s="11"/>
      <c r="CG129" s="11"/>
      <c r="CH129" s="11"/>
      <c r="CI129" s="11"/>
      <c r="CJ129" s="11"/>
      <c r="CK129" s="11"/>
      <c r="CL129" s="11"/>
      <c r="CM129" s="11"/>
      <c r="CN129" s="11"/>
      <c r="CO129" s="11"/>
      <c r="CP129" s="11"/>
      <c r="CQ129" s="11"/>
      <c r="CR129" s="11"/>
      <c r="CS129" s="11"/>
      <c r="CT129" s="11"/>
      <c r="CU129" s="11"/>
      <c r="CV129" s="11"/>
      <c r="CW129" s="11"/>
      <c r="CX129" s="11"/>
      <c r="CY129" s="11"/>
      <c r="CZ129" s="11"/>
      <c r="DA129" s="11"/>
      <c r="DB129" s="11"/>
      <c r="DC129" s="11"/>
      <c r="DD129" s="11"/>
      <c r="DE129" s="11"/>
      <c r="DF129" s="11"/>
      <c r="DG129" s="11"/>
      <c r="DH129" s="11"/>
      <c r="DI129" s="11"/>
      <c r="DJ129" s="11"/>
      <c r="DK129" s="11"/>
      <c r="DL129" s="11"/>
      <c r="DM129" s="11"/>
      <c r="DN129" s="11"/>
      <c r="DO129" s="11"/>
    </row>
    <row r="130" spans="1:119" s="10" customFormat="1" ht="11.25" customHeight="1">
      <c r="A130" s="24" t="str">
        <f>"1.117"</f>
        <v>1.117</v>
      </c>
      <c r="B130" s="25" t="str">
        <f>"г. Кириллов, ул. Уверова, д.10"</f>
        <v>г. Кириллов, ул. Уверова, д.10</v>
      </c>
      <c r="C130" s="26" t="str">
        <f>"1972"</f>
        <v>1972</v>
      </c>
      <c r="D130" s="27" t="str">
        <f>""</f>
        <v/>
      </c>
      <c r="E130" s="27" t="str">
        <f>"90,00"</f>
        <v>90,00</v>
      </c>
      <c r="F130" s="27" t="str">
        <f>"2030-2032"</f>
        <v>2030-2032</v>
      </c>
      <c r="G130" s="27" t="str">
        <f t="shared" si="117"/>
        <v>да</v>
      </c>
      <c r="H130" s="27" t="str">
        <f>"2011"</f>
        <v>2011</v>
      </c>
      <c r="I130" s="27" t="str">
        <f>"13,00"</f>
        <v>13,00</v>
      </c>
      <c r="J130" s="27" t="str">
        <f>"2027-2029"</f>
        <v>2027-2029</v>
      </c>
      <c r="K130" s="27" t="str">
        <f t="shared" si="98"/>
        <v>нет</v>
      </c>
      <c r="L130" s="27" t="str">
        <f>""</f>
        <v/>
      </c>
      <c r="M130" s="27" t="str">
        <f>""</f>
        <v/>
      </c>
      <c r="N130" s="27" t="str">
        <f>""</f>
        <v/>
      </c>
      <c r="O130" s="28" t="str">
        <f>""</f>
        <v/>
      </c>
      <c r="P130" s="27" t="str">
        <f>""</f>
        <v/>
      </c>
      <c r="Q130" s="27" t="str">
        <f>""</f>
        <v/>
      </c>
      <c r="R130" s="27" t="str">
        <f t="shared" si="109"/>
        <v>нет</v>
      </c>
      <c r="S130" s="27" t="str">
        <f>""</f>
        <v/>
      </c>
      <c r="T130" s="27" t="str">
        <f>""</f>
        <v/>
      </c>
      <c r="U130" s="27" t="str">
        <f>""</f>
        <v/>
      </c>
      <c r="V130" s="27" t="str">
        <f t="shared" si="99"/>
        <v>нет</v>
      </c>
      <c r="W130" s="27" t="str">
        <f>""</f>
        <v/>
      </c>
      <c r="X130" s="27" t="str">
        <f>""</f>
        <v/>
      </c>
      <c r="Y130" s="29" t="str">
        <f>""</f>
        <v/>
      </c>
      <c r="Z130" s="27" t="str">
        <f t="shared" si="101"/>
        <v>х</v>
      </c>
      <c r="AA130" s="27" t="str">
        <f t="shared" si="108"/>
        <v>х</v>
      </c>
      <c r="AB130" s="27" t="str">
        <f t="shared" si="108"/>
        <v>х</v>
      </c>
      <c r="AC130" s="27" t="str">
        <f t="shared" si="96"/>
        <v>нет</v>
      </c>
      <c r="AD130" s="27" t="str">
        <f t="shared" si="104"/>
        <v>х</v>
      </c>
      <c r="AE130" s="27" t="str">
        <f t="shared" si="104"/>
        <v>х</v>
      </c>
      <c r="AF130" s="27" t="str">
        <f t="shared" si="104"/>
        <v>х</v>
      </c>
      <c r="AG130" s="27" t="str">
        <f t="shared" si="97"/>
        <v>нет</v>
      </c>
      <c r="AH130" s="27" t="str">
        <f t="shared" si="105"/>
        <v>х</v>
      </c>
      <c r="AI130" s="27" t="str">
        <f t="shared" si="105"/>
        <v>х</v>
      </c>
      <c r="AJ130" s="27" t="str">
        <f t="shared" si="105"/>
        <v>х</v>
      </c>
      <c r="AK130" s="28" t="str">
        <f>"х"</f>
        <v>х</v>
      </c>
      <c r="AL130" s="27" t="str">
        <f>"х"</f>
        <v>х</v>
      </c>
      <c r="AM130" s="27" t="str">
        <f>"х"</f>
        <v>х</v>
      </c>
      <c r="AN130" s="30" t="str">
        <f t="shared" si="110"/>
        <v>нет</v>
      </c>
      <c r="AO130" s="27" t="str">
        <f>"х"</f>
        <v>х</v>
      </c>
      <c r="AP130" s="27" t="str">
        <f>"х"</f>
        <v>х</v>
      </c>
      <c r="AQ130" s="27" t="str">
        <f>"х"</f>
        <v>х</v>
      </c>
      <c r="AR130" s="27" t="str">
        <f t="shared" si="93"/>
        <v>нет</v>
      </c>
      <c r="AS130" s="27" t="str">
        <f t="shared" ref="AS130:AX130" si="118">"х"</f>
        <v>х</v>
      </c>
      <c r="AT130" s="27" t="str">
        <f t="shared" si="118"/>
        <v>х</v>
      </c>
      <c r="AU130" s="27" t="str">
        <f t="shared" si="118"/>
        <v>х</v>
      </c>
      <c r="AV130" s="27" t="str">
        <f t="shared" si="118"/>
        <v>х</v>
      </c>
      <c r="AW130" s="27" t="str">
        <f t="shared" si="118"/>
        <v>х</v>
      </c>
      <c r="AX130" s="27" t="str">
        <f t="shared" si="118"/>
        <v>х</v>
      </c>
      <c r="AY130" s="27" t="str">
        <f t="shared" si="94"/>
        <v>нет</v>
      </c>
      <c r="AZ130" s="27" t="str">
        <f>"х"</f>
        <v>х</v>
      </c>
      <c r="BA130" s="27" t="str">
        <f>"х"</f>
        <v>х</v>
      </c>
      <c r="BB130" s="27" t="str">
        <f>"х"</f>
        <v>х</v>
      </c>
      <c r="BC130" s="27" t="str">
        <f t="shared" si="95"/>
        <v>нет</v>
      </c>
      <c r="BD130" s="27" t="str">
        <f>"х"</f>
        <v>х</v>
      </c>
      <c r="BE130" s="27" t="str">
        <f>"х"</f>
        <v>х</v>
      </c>
      <c r="BF130" s="27" t="str">
        <f>"х"</f>
        <v>х</v>
      </c>
      <c r="BG130" s="27" t="str">
        <f>""</f>
        <v/>
      </c>
      <c r="BH130" s="27" t="str">
        <f>"65,00"</f>
        <v>65,00</v>
      </c>
      <c r="BI130" s="27" t="str">
        <f>"2021-2023"</f>
        <v>2021-2023</v>
      </c>
      <c r="BJ130" s="27" t="str">
        <f t="shared" si="102"/>
        <v>нет</v>
      </c>
      <c r="BK130" s="27" t="str">
        <f t="shared" si="92"/>
        <v>x</v>
      </c>
      <c r="BL130" s="27" t="str">
        <f>"60,00"</f>
        <v>60,00</v>
      </c>
      <c r="BM130" s="27" t="str">
        <f>"2017-2019"</f>
        <v>2017-2019</v>
      </c>
      <c r="BN130" s="27" t="str">
        <f>""</f>
        <v/>
      </c>
      <c r="BO130" s="27" t="str">
        <f>"60,00"</f>
        <v>60,00</v>
      </c>
      <c r="BP130" s="27" t="str">
        <f>"2027-2029"</f>
        <v>2027-2029</v>
      </c>
      <c r="BQ130" s="27" t="str">
        <f>""</f>
        <v/>
      </c>
      <c r="BR130" s="27" t="str">
        <f>"60,00"</f>
        <v>60,00</v>
      </c>
      <c r="BS130" s="27" t="str">
        <f>"2017-2019"</f>
        <v>2017-2019</v>
      </c>
      <c r="BT130" s="11"/>
      <c r="BU130" s="11"/>
      <c r="BV130" s="11"/>
      <c r="BW130" s="11"/>
      <c r="BX130" s="11"/>
      <c r="BY130" s="11"/>
      <c r="BZ130" s="11"/>
      <c r="CA130" s="11"/>
      <c r="CB130" s="11"/>
      <c r="CC130" s="11"/>
      <c r="CD130" s="11"/>
      <c r="CE130" s="11"/>
      <c r="CF130" s="11"/>
      <c r="CG130" s="11"/>
      <c r="CH130" s="11"/>
      <c r="CI130" s="11"/>
      <c r="CJ130" s="11"/>
      <c r="CK130" s="11"/>
      <c r="CL130" s="11"/>
      <c r="CM130" s="11"/>
      <c r="CN130" s="11"/>
      <c r="CO130" s="11"/>
      <c r="CP130" s="11"/>
      <c r="CQ130" s="11"/>
      <c r="CR130" s="11"/>
      <c r="CS130" s="11"/>
      <c r="CT130" s="11"/>
      <c r="CU130" s="11"/>
      <c r="CV130" s="11"/>
      <c r="CW130" s="11"/>
      <c r="CX130" s="11"/>
      <c r="CY130" s="11"/>
      <c r="CZ130" s="11"/>
      <c r="DA130" s="11"/>
      <c r="DB130" s="11"/>
      <c r="DC130" s="11"/>
      <c r="DD130" s="11"/>
      <c r="DE130" s="11"/>
      <c r="DF130" s="11"/>
      <c r="DG130" s="11"/>
      <c r="DH130" s="11"/>
      <c r="DI130" s="11"/>
      <c r="DJ130" s="11"/>
      <c r="DK130" s="11"/>
      <c r="DL130" s="11"/>
      <c r="DM130" s="11"/>
      <c r="DN130" s="11"/>
      <c r="DO130" s="11"/>
    </row>
    <row r="131" spans="1:119" s="9" customFormat="1" ht="11.25" customHeight="1">
      <c r="A131" s="24" t="str">
        <f>"1.118"</f>
        <v>1.118</v>
      </c>
      <c r="B131" s="25" t="str">
        <f>"г. Кириллов, ул. Уверова, д.27"</f>
        <v>г. Кириллов, ул. Уверова, д.27</v>
      </c>
      <c r="C131" s="26" t="str">
        <f>"1985"</f>
        <v>1985</v>
      </c>
      <c r="D131" s="27" t="str">
        <f>"2009"</f>
        <v>2009</v>
      </c>
      <c r="E131" s="27" t="str">
        <f>"20,00"</f>
        <v>20,00</v>
      </c>
      <c r="F131" s="27" t="str">
        <f>"2040-2042"</f>
        <v>2040-2042</v>
      </c>
      <c r="G131" s="27" t="str">
        <f t="shared" si="117"/>
        <v>да</v>
      </c>
      <c r="H131" s="27" t="str">
        <f>"2009"</f>
        <v>2009</v>
      </c>
      <c r="I131" s="27" t="str">
        <f>"25,00"</f>
        <v>25,00</v>
      </c>
      <c r="J131" s="27" t="str">
        <f>"2025-2027"</f>
        <v>2025-2027</v>
      </c>
      <c r="K131" s="27" t="str">
        <f t="shared" si="98"/>
        <v>нет</v>
      </c>
      <c r="L131" s="27" t="str">
        <f>""</f>
        <v/>
      </c>
      <c r="M131" s="27" t="str">
        <f>""</f>
        <v/>
      </c>
      <c r="N131" s="27" t="str">
        <f>""</f>
        <v/>
      </c>
      <c r="O131" s="28" t="str">
        <f>"2009"</f>
        <v>2009</v>
      </c>
      <c r="P131" s="27" t="str">
        <f>"16,00"</f>
        <v>16,00</v>
      </c>
      <c r="Q131" s="27" t="str">
        <f>"2038-2040"</f>
        <v>2038-2040</v>
      </c>
      <c r="R131" s="27" t="str">
        <f t="shared" ref="R131:R137" si="119">"да"</f>
        <v>да</v>
      </c>
      <c r="S131" s="27" t="str">
        <f>"2009"</f>
        <v>2009</v>
      </c>
      <c r="T131" s="27" t="str">
        <f>"25,00"</f>
        <v>25,00</v>
      </c>
      <c r="U131" s="27" t="str">
        <f>"2025-2027"</f>
        <v>2025-2027</v>
      </c>
      <c r="V131" s="27" t="str">
        <f t="shared" si="99"/>
        <v>нет</v>
      </c>
      <c r="W131" s="27" t="str">
        <f>""</f>
        <v/>
      </c>
      <c r="X131" s="27" t="str">
        <f>""</f>
        <v/>
      </c>
      <c r="Y131" s="29" t="str">
        <f>""</f>
        <v/>
      </c>
      <c r="Z131" s="27" t="str">
        <f t="shared" si="101"/>
        <v>х</v>
      </c>
      <c r="AA131" s="27" t="str">
        <f t="shared" si="108"/>
        <v>х</v>
      </c>
      <c r="AB131" s="27" t="str">
        <f t="shared" si="108"/>
        <v>х</v>
      </c>
      <c r="AC131" s="27" t="str">
        <f t="shared" si="96"/>
        <v>нет</v>
      </c>
      <c r="AD131" s="27" t="str">
        <f t="shared" si="104"/>
        <v>х</v>
      </c>
      <c r="AE131" s="27" t="str">
        <f t="shared" si="104"/>
        <v>х</v>
      </c>
      <c r="AF131" s="27" t="str">
        <f t="shared" si="104"/>
        <v>х</v>
      </c>
      <c r="AG131" s="27" t="str">
        <f t="shared" si="97"/>
        <v>нет</v>
      </c>
      <c r="AH131" s="27" t="str">
        <f t="shared" si="105"/>
        <v>х</v>
      </c>
      <c r="AI131" s="27" t="str">
        <f t="shared" si="105"/>
        <v>х</v>
      </c>
      <c r="AJ131" s="27" t="str">
        <f t="shared" si="105"/>
        <v>х</v>
      </c>
      <c r="AK131" s="28" t="str">
        <f>"2009"</f>
        <v>2009</v>
      </c>
      <c r="AL131" s="27" t="str">
        <f>"13,00"</f>
        <v>13,00</v>
      </c>
      <c r="AM131" s="27" t="str">
        <f>"2044-2046"</f>
        <v>2044-2046</v>
      </c>
      <c r="AN131" s="30" t="str">
        <f>"да"</f>
        <v>да</v>
      </c>
      <c r="AO131" s="27" t="str">
        <f>"2014"</f>
        <v>2014</v>
      </c>
      <c r="AP131" s="27" t="str">
        <f>"67,00"</f>
        <v>67,00</v>
      </c>
      <c r="AQ131" s="27" t="str">
        <f>"2020-2022"</f>
        <v>2020-2022</v>
      </c>
      <c r="AR131" s="27" t="str">
        <f t="shared" si="93"/>
        <v>нет</v>
      </c>
      <c r="AS131" s="27" t="str">
        <f>""</f>
        <v/>
      </c>
      <c r="AT131" s="27" t="str">
        <f>""</f>
        <v/>
      </c>
      <c r="AU131" s="27" t="str">
        <f>""</f>
        <v/>
      </c>
      <c r="AV131" s="27" t="str">
        <f>"2009"</f>
        <v>2009</v>
      </c>
      <c r="AW131" s="27" t="str">
        <f>"8,00"</f>
        <v>8,00</v>
      </c>
      <c r="AX131" s="27" t="str">
        <f>"2045-2047"</f>
        <v>2045-2047</v>
      </c>
      <c r="AY131" s="27" t="str">
        <f t="shared" si="94"/>
        <v>нет</v>
      </c>
      <c r="AZ131" s="27" t="str">
        <f>""</f>
        <v/>
      </c>
      <c r="BA131" s="27" t="str">
        <f>""</f>
        <v/>
      </c>
      <c r="BB131" s="27" t="str">
        <f>""</f>
        <v/>
      </c>
      <c r="BC131" s="27" t="str">
        <f t="shared" si="95"/>
        <v>нет</v>
      </c>
      <c r="BD131" s="27" t="str">
        <f>""</f>
        <v/>
      </c>
      <c r="BE131" s="27" t="str">
        <f>""</f>
        <v/>
      </c>
      <c r="BF131" s="27" t="str">
        <f>""</f>
        <v/>
      </c>
      <c r="BG131" s="27" t="str">
        <f>"2009"</f>
        <v>2009</v>
      </c>
      <c r="BH131" s="27" t="str">
        <f>"27,00"</f>
        <v>27,00</v>
      </c>
      <c r="BI131" s="27" t="str">
        <f>"2034-2036"</f>
        <v>2034-2036</v>
      </c>
      <c r="BJ131" s="27" t="str">
        <f t="shared" si="102"/>
        <v>нет</v>
      </c>
      <c r="BK131" s="27" t="str">
        <f t="shared" si="92"/>
        <v>x</v>
      </c>
      <c r="BL131" s="27" t="str">
        <f>"56,00"</f>
        <v>56,00</v>
      </c>
      <c r="BM131" s="27" t="str">
        <f>"2029-2031"</f>
        <v>2029-2031</v>
      </c>
      <c r="BN131" s="27" t="str">
        <f>"2009"</f>
        <v>2009</v>
      </c>
      <c r="BO131" s="27" t="str">
        <f>"13,00"</f>
        <v>13,00</v>
      </c>
      <c r="BP131" s="27" t="str">
        <f>"2039-2041"</f>
        <v>2039-2041</v>
      </c>
      <c r="BQ131" s="27" t="str">
        <f>""</f>
        <v/>
      </c>
      <c r="BR131" s="27" t="str">
        <f>"56,00"</f>
        <v>56,00</v>
      </c>
      <c r="BS131" s="27" t="str">
        <f>"2029-2031"</f>
        <v>2029-2031</v>
      </c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1"/>
      <c r="CE131" s="11"/>
      <c r="CF131" s="11"/>
      <c r="CG131" s="11"/>
      <c r="CH131" s="11"/>
      <c r="CI131" s="11"/>
      <c r="CJ131" s="11"/>
      <c r="CK131" s="11"/>
      <c r="CL131" s="11"/>
      <c r="CM131" s="11"/>
      <c r="CN131" s="11"/>
      <c r="CO131" s="11"/>
      <c r="CP131" s="11"/>
      <c r="CQ131" s="11"/>
      <c r="CR131" s="11"/>
      <c r="CS131" s="11"/>
      <c r="CT131" s="11"/>
      <c r="CU131" s="11"/>
      <c r="CV131" s="11"/>
      <c r="CW131" s="11"/>
      <c r="CX131" s="11"/>
      <c r="CY131" s="11"/>
      <c r="CZ131" s="11"/>
      <c r="DA131" s="11"/>
      <c r="DB131" s="11"/>
      <c r="DC131" s="11"/>
      <c r="DD131" s="11"/>
      <c r="DE131" s="11"/>
      <c r="DF131" s="11"/>
      <c r="DG131" s="11"/>
      <c r="DH131" s="11"/>
      <c r="DI131" s="11"/>
      <c r="DJ131" s="11"/>
      <c r="DK131" s="11"/>
      <c r="DL131" s="11"/>
      <c r="DM131" s="11"/>
      <c r="DN131" s="11"/>
      <c r="DO131" s="11"/>
    </row>
    <row r="132" spans="1:119" s="9" customFormat="1" ht="11.25" customHeight="1">
      <c r="A132" s="24" t="str">
        <f>"1.119"</f>
        <v>1.119</v>
      </c>
      <c r="B132" s="25" t="str">
        <f>"г. Кириллов, ул. Уверова, д.29"</f>
        <v>г. Кириллов, ул. Уверова, д.29</v>
      </c>
      <c r="C132" s="26" t="str">
        <f>"1985"</f>
        <v>1985</v>
      </c>
      <c r="D132" s="27" t="str">
        <f>"2009"</f>
        <v>2009</v>
      </c>
      <c r="E132" s="27" t="str">
        <f>"20,00"</f>
        <v>20,00</v>
      </c>
      <c r="F132" s="27" t="str">
        <f>"2030-2032"</f>
        <v>2030-2032</v>
      </c>
      <c r="G132" s="27" t="str">
        <f t="shared" si="117"/>
        <v>да</v>
      </c>
      <c r="H132" s="27" t="str">
        <f>"2009"</f>
        <v>2009</v>
      </c>
      <c r="I132" s="27" t="str">
        <f>"25,00"</f>
        <v>25,00</v>
      </c>
      <c r="J132" s="27" t="str">
        <f>"2025-2027"</f>
        <v>2025-2027</v>
      </c>
      <c r="K132" s="27" t="str">
        <f t="shared" si="98"/>
        <v>нет</v>
      </c>
      <c r="L132" s="27" t="str">
        <f>""</f>
        <v/>
      </c>
      <c r="M132" s="27" t="str">
        <f>""</f>
        <v/>
      </c>
      <c r="N132" s="27" t="str">
        <f>""</f>
        <v/>
      </c>
      <c r="O132" s="28" t="str">
        <f>"2009"</f>
        <v>2009</v>
      </c>
      <c r="P132" s="27" t="str">
        <f>"16,00"</f>
        <v>16,00</v>
      </c>
      <c r="Q132" s="27" t="str">
        <f>"2038-2040"</f>
        <v>2038-2040</v>
      </c>
      <c r="R132" s="27" t="str">
        <f t="shared" si="119"/>
        <v>да</v>
      </c>
      <c r="S132" s="27" t="str">
        <f>"2009"</f>
        <v>2009</v>
      </c>
      <c r="T132" s="27" t="str">
        <f>"25,00"</f>
        <v>25,00</v>
      </c>
      <c r="U132" s="27" t="str">
        <f>"2025-2027"</f>
        <v>2025-2027</v>
      </c>
      <c r="V132" s="27" t="str">
        <f t="shared" si="99"/>
        <v>нет</v>
      </c>
      <c r="W132" s="27" t="str">
        <f>""</f>
        <v/>
      </c>
      <c r="X132" s="27" t="str">
        <f>""</f>
        <v/>
      </c>
      <c r="Y132" s="29" t="str">
        <f>""</f>
        <v/>
      </c>
      <c r="Z132" s="27" t="str">
        <f t="shared" si="101"/>
        <v>х</v>
      </c>
      <c r="AA132" s="27" t="str">
        <f t="shared" si="108"/>
        <v>х</v>
      </c>
      <c r="AB132" s="27" t="str">
        <f t="shared" si="108"/>
        <v>х</v>
      </c>
      <c r="AC132" s="27" t="str">
        <f t="shared" si="96"/>
        <v>нет</v>
      </c>
      <c r="AD132" s="27" t="str">
        <f t="shared" si="104"/>
        <v>х</v>
      </c>
      <c r="AE132" s="27" t="str">
        <f t="shared" si="104"/>
        <v>х</v>
      </c>
      <c r="AF132" s="27" t="str">
        <f t="shared" si="104"/>
        <v>х</v>
      </c>
      <c r="AG132" s="27" t="str">
        <f t="shared" si="97"/>
        <v>нет</v>
      </c>
      <c r="AH132" s="27" t="str">
        <f t="shared" si="105"/>
        <v>х</v>
      </c>
      <c r="AI132" s="27" t="str">
        <f t="shared" si="105"/>
        <v>х</v>
      </c>
      <c r="AJ132" s="27" t="str">
        <f t="shared" si="105"/>
        <v>х</v>
      </c>
      <c r="AK132" s="28" t="str">
        <f>"2009"</f>
        <v>2009</v>
      </c>
      <c r="AL132" s="27" t="str">
        <f>"13,00"</f>
        <v>13,00</v>
      </c>
      <c r="AM132" s="27" t="str">
        <f>"2044-2046"</f>
        <v>2044-2046</v>
      </c>
      <c r="AN132" s="30" t="str">
        <f>"да"</f>
        <v>да</v>
      </c>
      <c r="AO132" s="27" t="str">
        <f>"2014"</f>
        <v>2014</v>
      </c>
      <c r="AP132" s="27" t="str">
        <f>"67,00"</f>
        <v>67,00</v>
      </c>
      <c r="AQ132" s="27" t="str">
        <f>"2020-2022"</f>
        <v>2020-2022</v>
      </c>
      <c r="AR132" s="27" t="str">
        <f t="shared" si="93"/>
        <v>нет</v>
      </c>
      <c r="AS132" s="27" t="str">
        <f>""</f>
        <v/>
      </c>
      <c r="AT132" s="27" t="str">
        <f>""</f>
        <v/>
      </c>
      <c r="AU132" s="27" t="str">
        <f>""</f>
        <v/>
      </c>
      <c r="AV132" s="27" t="str">
        <f>"2009"</f>
        <v>2009</v>
      </c>
      <c r="AW132" s="27" t="str">
        <f>"8,00"</f>
        <v>8,00</v>
      </c>
      <c r="AX132" s="27" t="str">
        <f>"2045-2047"</f>
        <v>2045-2047</v>
      </c>
      <c r="AY132" s="27" t="str">
        <f t="shared" si="94"/>
        <v>нет</v>
      </c>
      <c r="AZ132" s="27" t="str">
        <f>""</f>
        <v/>
      </c>
      <c r="BA132" s="27" t="str">
        <f>""</f>
        <v/>
      </c>
      <c r="BB132" s="27" t="str">
        <f>""</f>
        <v/>
      </c>
      <c r="BC132" s="27" t="str">
        <f t="shared" si="95"/>
        <v>нет</v>
      </c>
      <c r="BD132" s="27" t="str">
        <f>""</f>
        <v/>
      </c>
      <c r="BE132" s="27" t="str">
        <f>""</f>
        <v/>
      </c>
      <c r="BF132" s="27" t="str">
        <f>""</f>
        <v/>
      </c>
      <c r="BG132" s="27" t="str">
        <f>"2009"</f>
        <v>2009</v>
      </c>
      <c r="BH132" s="27" t="str">
        <f>"27,00"</f>
        <v>27,00</v>
      </c>
      <c r="BI132" s="27" t="str">
        <f>"2034-2036"</f>
        <v>2034-2036</v>
      </c>
      <c r="BJ132" s="27" t="str">
        <f t="shared" si="102"/>
        <v>нет</v>
      </c>
      <c r="BK132" s="27" t="str">
        <f t="shared" si="92"/>
        <v>x</v>
      </c>
      <c r="BL132" s="27" t="str">
        <f>"56,00"</f>
        <v>56,00</v>
      </c>
      <c r="BM132" s="27" t="str">
        <f>"2022-2024"</f>
        <v>2022-2024</v>
      </c>
      <c r="BN132" s="27" t="str">
        <f>"2009"</f>
        <v>2009</v>
      </c>
      <c r="BO132" s="27" t="str">
        <f>"13,00"</f>
        <v>13,00</v>
      </c>
      <c r="BP132" s="27" t="str">
        <f>"2039-2041"</f>
        <v>2039-2041</v>
      </c>
      <c r="BQ132" s="27" t="str">
        <f>""</f>
        <v/>
      </c>
      <c r="BR132" s="27" t="str">
        <f>"56,00"</f>
        <v>56,00</v>
      </c>
      <c r="BS132" s="27" t="str">
        <f>"2022-2024"</f>
        <v>2022-2024</v>
      </c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1"/>
      <c r="CE132" s="11"/>
      <c r="CF132" s="11"/>
      <c r="CG132" s="11"/>
      <c r="CH132" s="11"/>
      <c r="CI132" s="11"/>
      <c r="CJ132" s="11"/>
      <c r="CK132" s="11"/>
      <c r="CL132" s="11"/>
      <c r="CM132" s="11"/>
      <c r="CN132" s="11"/>
      <c r="CO132" s="11"/>
      <c r="CP132" s="11"/>
      <c r="CQ132" s="11"/>
      <c r="CR132" s="11"/>
      <c r="CS132" s="11"/>
      <c r="CT132" s="11"/>
      <c r="CU132" s="11"/>
      <c r="CV132" s="11"/>
      <c r="CW132" s="11"/>
      <c r="CX132" s="11"/>
      <c r="CY132" s="11"/>
      <c r="CZ132" s="11"/>
      <c r="DA132" s="11"/>
      <c r="DB132" s="11"/>
      <c r="DC132" s="11"/>
      <c r="DD132" s="11"/>
      <c r="DE132" s="11"/>
      <c r="DF132" s="11"/>
      <c r="DG132" s="11"/>
      <c r="DH132" s="11"/>
      <c r="DI132" s="11"/>
      <c r="DJ132" s="11"/>
      <c r="DK132" s="11"/>
      <c r="DL132" s="11"/>
      <c r="DM132" s="11"/>
      <c r="DN132" s="11"/>
      <c r="DO132" s="11"/>
    </row>
    <row r="133" spans="1:119" s="9" customFormat="1" ht="11.25" customHeight="1">
      <c r="A133" s="24" t="str">
        <f>"1.120"</f>
        <v>1.120</v>
      </c>
      <c r="B133" s="25" t="str">
        <f>"г. Кириллов, ул. Уверова, д.31"</f>
        <v>г. Кириллов, ул. Уверова, д.31</v>
      </c>
      <c r="C133" s="26" t="str">
        <f>"1998"</f>
        <v>1998</v>
      </c>
      <c r="D133" s="27" t="str">
        <f>""</f>
        <v/>
      </c>
      <c r="E133" s="27" t="str">
        <f>"75,00"</f>
        <v>75,00</v>
      </c>
      <c r="F133" s="27" t="str">
        <f>"2032-2034"</f>
        <v>2032-2034</v>
      </c>
      <c r="G133" s="27" t="str">
        <f t="shared" si="117"/>
        <v>да</v>
      </c>
      <c r="H133" s="27" t="str">
        <f>"2011"</f>
        <v>2011</v>
      </c>
      <c r="I133" s="27" t="str">
        <f>"13,00"</f>
        <v>13,00</v>
      </c>
      <c r="J133" s="27" t="str">
        <f>"2027-2029"</f>
        <v>2027-2029</v>
      </c>
      <c r="K133" s="27" t="str">
        <f t="shared" si="98"/>
        <v>нет</v>
      </c>
      <c r="L133" s="27" t="str">
        <f>""</f>
        <v/>
      </c>
      <c r="M133" s="27" t="str">
        <f>""</f>
        <v/>
      </c>
      <c r="N133" s="27" t="str">
        <f>""</f>
        <v/>
      </c>
      <c r="O133" s="28" t="str">
        <f>""</f>
        <v/>
      </c>
      <c r="P133" s="27" t="str">
        <f>"60,00"</f>
        <v>60,00</v>
      </c>
      <c r="Q133" s="27" t="str">
        <f>"2029-2031"</f>
        <v>2029-2031</v>
      </c>
      <c r="R133" s="27" t="str">
        <f t="shared" si="119"/>
        <v>да</v>
      </c>
      <c r="S133" s="27" t="str">
        <f>"2009"</f>
        <v>2009</v>
      </c>
      <c r="T133" s="27" t="str">
        <f>"24,00"</f>
        <v>24,00</v>
      </c>
      <c r="U133" s="27" t="str">
        <f>"2025-2027"</f>
        <v>2025-2027</v>
      </c>
      <c r="V133" s="27" t="str">
        <f t="shared" si="99"/>
        <v>нет</v>
      </c>
      <c r="W133" s="27" t="str">
        <f>""</f>
        <v/>
      </c>
      <c r="X133" s="27" t="str">
        <f>""</f>
        <v/>
      </c>
      <c r="Y133" s="29" t="str">
        <f>""</f>
        <v/>
      </c>
      <c r="Z133" s="27" t="str">
        <f t="shared" si="101"/>
        <v>х</v>
      </c>
      <c r="AA133" s="27" t="str">
        <f t="shared" si="108"/>
        <v>х</v>
      </c>
      <c r="AB133" s="27" t="str">
        <f t="shared" si="108"/>
        <v>х</v>
      </c>
      <c r="AC133" s="27" t="str">
        <f t="shared" si="96"/>
        <v>нет</v>
      </c>
      <c r="AD133" s="27" t="str">
        <f t="shared" si="104"/>
        <v>х</v>
      </c>
      <c r="AE133" s="27" t="str">
        <f t="shared" si="104"/>
        <v>х</v>
      </c>
      <c r="AF133" s="27" t="str">
        <f t="shared" si="104"/>
        <v>х</v>
      </c>
      <c r="AG133" s="27" t="str">
        <f t="shared" si="97"/>
        <v>нет</v>
      </c>
      <c r="AH133" s="27" t="str">
        <f t="shared" si="105"/>
        <v>х</v>
      </c>
      <c r="AI133" s="27" t="str">
        <f t="shared" si="105"/>
        <v>х</v>
      </c>
      <c r="AJ133" s="27" t="str">
        <f t="shared" si="105"/>
        <v>х</v>
      </c>
      <c r="AK133" s="28" t="str">
        <f>""</f>
        <v/>
      </c>
      <c r="AL133" s="27" t="str">
        <f>"60,00"</f>
        <v>60,00</v>
      </c>
      <c r="AM133" s="27" t="str">
        <f>"2028-2030"</f>
        <v>2028-2030</v>
      </c>
      <c r="AN133" s="30" t="str">
        <f>"нет"</f>
        <v>нет</v>
      </c>
      <c r="AO133" s="27" t="str">
        <f>""</f>
        <v/>
      </c>
      <c r="AP133" s="27" t="str">
        <f>""</f>
        <v/>
      </c>
      <c r="AQ133" s="27" t="str">
        <f>""</f>
        <v/>
      </c>
      <c r="AR133" s="27" t="str">
        <f t="shared" si="93"/>
        <v>нет</v>
      </c>
      <c r="AS133" s="27" t="str">
        <f>""</f>
        <v/>
      </c>
      <c r="AT133" s="27" t="str">
        <f>""</f>
        <v/>
      </c>
      <c r="AU133" s="27" t="str">
        <f>""</f>
        <v/>
      </c>
      <c r="AV133" s="27" t="str">
        <f>"1998"</f>
        <v>1998</v>
      </c>
      <c r="AW133" s="27" t="str">
        <f>"50,00"</f>
        <v>50,00</v>
      </c>
      <c r="AX133" s="27" t="str">
        <f>"2023-2025"</f>
        <v>2023-2025</v>
      </c>
      <c r="AY133" s="27" t="str">
        <f t="shared" si="94"/>
        <v>нет</v>
      </c>
      <c r="AZ133" s="27" t="str">
        <f>""</f>
        <v/>
      </c>
      <c r="BA133" s="27" t="str">
        <f>""</f>
        <v/>
      </c>
      <c r="BB133" s="27" t="str">
        <f>""</f>
        <v/>
      </c>
      <c r="BC133" s="27" t="str">
        <f t="shared" si="95"/>
        <v>нет</v>
      </c>
      <c r="BD133" s="27" t="str">
        <f>""</f>
        <v/>
      </c>
      <c r="BE133" s="27" t="str">
        <f>""</f>
        <v/>
      </c>
      <c r="BF133" s="27" t="str">
        <f>""</f>
        <v/>
      </c>
      <c r="BG133" s="27" t="str">
        <f>""</f>
        <v/>
      </c>
      <c r="BH133" s="27" t="str">
        <f>"60,00"</f>
        <v>60,00</v>
      </c>
      <c r="BI133" s="27" t="str">
        <f>"2034-2036"</f>
        <v>2034-2036</v>
      </c>
      <c r="BJ133" s="27" t="str">
        <f t="shared" si="102"/>
        <v>нет</v>
      </c>
      <c r="BK133" s="27" t="str">
        <f t="shared" si="92"/>
        <v>x</v>
      </c>
      <c r="BL133" s="27" t="str">
        <f>"30,00"</f>
        <v>30,00</v>
      </c>
      <c r="BM133" s="27" t="str">
        <f>"2038-2040"</f>
        <v>2038-2040</v>
      </c>
      <c r="BN133" s="27" t="str">
        <f>""</f>
        <v/>
      </c>
      <c r="BO133" s="27" t="str">
        <f>"30,00"</f>
        <v>30,00</v>
      </c>
      <c r="BP133" s="27" t="str">
        <f>"2038-2040"</f>
        <v>2038-2040</v>
      </c>
      <c r="BQ133" s="27" t="str">
        <f>""</f>
        <v/>
      </c>
      <c r="BR133" s="27" t="str">
        <f>"30,00"</f>
        <v>30,00</v>
      </c>
      <c r="BS133" s="27" t="str">
        <f>"2038-2040"</f>
        <v>2038-2040</v>
      </c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1"/>
      <c r="CE133" s="11"/>
      <c r="CF133" s="11"/>
      <c r="CG133" s="11"/>
      <c r="CH133" s="11"/>
      <c r="CI133" s="11"/>
      <c r="CJ133" s="11"/>
      <c r="CK133" s="11"/>
      <c r="CL133" s="11"/>
      <c r="CM133" s="11"/>
      <c r="CN133" s="11"/>
      <c r="CO133" s="11"/>
      <c r="CP133" s="11"/>
      <c r="CQ133" s="11"/>
      <c r="CR133" s="11"/>
      <c r="CS133" s="11"/>
      <c r="CT133" s="11"/>
      <c r="CU133" s="11"/>
      <c r="CV133" s="11"/>
      <c r="CW133" s="11"/>
      <c r="CX133" s="11"/>
      <c r="CY133" s="11"/>
      <c r="CZ133" s="11"/>
      <c r="DA133" s="11"/>
      <c r="DB133" s="11"/>
      <c r="DC133" s="11"/>
      <c r="DD133" s="11"/>
      <c r="DE133" s="11"/>
      <c r="DF133" s="11"/>
      <c r="DG133" s="11"/>
      <c r="DH133" s="11"/>
      <c r="DI133" s="11"/>
      <c r="DJ133" s="11"/>
      <c r="DK133" s="11"/>
      <c r="DL133" s="11"/>
      <c r="DM133" s="11"/>
      <c r="DN133" s="11"/>
      <c r="DO133" s="11"/>
    </row>
    <row r="134" spans="1:119" s="9" customFormat="1" ht="11.25" customHeight="1">
      <c r="A134" s="24" t="str">
        <f>"1.121"</f>
        <v>1.121</v>
      </c>
      <c r="B134" s="25" t="str">
        <f>"г. Кириллов, ул. Урицкого, д.12"</f>
        <v>г. Кириллов, ул. Урицкого, д.12</v>
      </c>
      <c r="C134" s="26" t="str">
        <f>"1974"</f>
        <v>1974</v>
      </c>
      <c r="D134" s="27" t="str">
        <f>"2009"</f>
        <v>2009</v>
      </c>
      <c r="E134" s="27" t="str">
        <f>"12,00"</f>
        <v>12,00</v>
      </c>
      <c r="F134" s="27" t="str">
        <f>"2040-2042"</f>
        <v>2040-2042</v>
      </c>
      <c r="G134" s="27" t="str">
        <f t="shared" si="117"/>
        <v>да</v>
      </c>
      <c r="H134" s="27" t="str">
        <f>"2009"</f>
        <v>2009</v>
      </c>
      <c r="I134" s="27" t="str">
        <f>"31,00"</f>
        <v>31,00</v>
      </c>
      <c r="J134" s="27" t="str">
        <f>"2024-2026"</f>
        <v>2024-2026</v>
      </c>
      <c r="K134" s="27" t="str">
        <f t="shared" si="98"/>
        <v>нет</v>
      </c>
      <c r="L134" s="27" t="str">
        <f>""</f>
        <v/>
      </c>
      <c r="M134" s="27" t="str">
        <f>""</f>
        <v/>
      </c>
      <c r="N134" s="27" t="str">
        <f>""</f>
        <v/>
      </c>
      <c r="O134" s="28" t="str">
        <f>"2009"</f>
        <v>2009</v>
      </c>
      <c r="P134" s="27" t="str">
        <f>"8,00"</f>
        <v>8,00</v>
      </c>
      <c r="Q134" s="27" t="str">
        <f>"2038-2040"</f>
        <v>2038-2040</v>
      </c>
      <c r="R134" s="27" t="str">
        <f t="shared" si="119"/>
        <v>да</v>
      </c>
      <c r="S134" s="27" t="str">
        <f>"2010"</f>
        <v>2010</v>
      </c>
      <c r="T134" s="27" t="str">
        <f>"18,00"</f>
        <v>18,00</v>
      </c>
      <c r="U134" s="27" t="str">
        <f>"2026-2028"</f>
        <v>2026-2028</v>
      </c>
      <c r="V134" s="27" t="str">
        <f t="shared" si="99"/>
        <v>нет</v>
      </c>
      <c r="W134" s="27" t="str">
        <f>""</f>
        <v/>
      </c>
      <c r="X134" s="27" t="str">
        <f>""</f>
        <v/>
      </c>
      <c r="Y134" s="29" t="str">
        <f>""</f>
        <v/>
      </c>
      <c r="Z134" s="27" t="str">
        <f t="shared" si="101"/>
        <v>х</v>
      </c>
      <c r="AA134" s="27" t="str">
        <f>"80,00"</f>
        <v>80,00</v>
      </c>
      <c r="AB134" s="27" t="str">
        <f>"2018-2020"</f>
        <v>2018-2020</v>
      </c>
      <c r="AC134" s="27" t="str">
        <f t="shared" si="96"/>
        <v>нет</v>
      </c>
      <c r="AD134" s="27" t="str">
        <f t="shared" si="104"/>
        <v>х</v>
      </c>
      <c r="AE134" s="27" t="str">
        <f t="shared" si="104"/>
        <v>х</v>
      </c>
      <c r="AF134" s="27" t="str">
        <f t="shared" si="104"/>
        <v>х</v>
      </c>
      <c r="AG134" s="27" t="str">
        <f t="shared" si="97"/>
        <v>нет</v>
      </c>
      <c r="AH134" s="27" t="str">
        <f t="shared" si="105"/>
        <v>х</v>
      </c>
      <c r="AI134" s="27" t="str">
        <f t="shared" si="105"/>
        <v>х</v>
      </c>
      <c r="AJ134" s="27" t="str">
        <f t="shared" si="105"/>
        <v>х</v>
      </c>
      <c r="AK134" s="28" t="str">
        <f>"2009"</f>
        <v>2009</v>
      </c>
      <c r="AL134" s="27" t="str">
        <f>"12,00"</f>
        <v>12,00</v>
      </c>
      <c r="AM134" s="27" t="str">
        <f>"2044-2046"</f>
        <v>2044-2046</v>
      </c>
      <c r="AN134" s="30" t="str">
        <f>"да"</f>
        <v>да</v>
      </c>
      <c r="AO134" s="27" t="str">
        <f>"2009"</f>
        <v>2009</v>
      </c>
      <c r="AP134" s="27" t="str">
        <f>"67,00"</f>
        <v>67,00</v>
      </c>
      <c r="AQ134" s="27" t="str">
        <f>"2015-2017"</f>
        <v>2015-2017</v>
      </c>
      <c r="AR134" s="27" t="str">
        <f t="shared" si="93"/>
        <v>нет</v>
      </c>
      <c r="AS134" s="27" t="str">
        <f>""</f>
        <v/>
      </c>
      <c r="AT134" s="27" t="str">
        <f>""</f>
        <v/>
      </c>
      <c r="AU134" s="27" t="str">
        <f>""</f>
        <v/>
      </c>
      <c r="AV134" s="27" t="str">
        <f>"2009"</f>
        <v>2009</v>
      </c>
      <c r="AW134" s="27" t="str">
        <f>"12,00"</f>
        <v>12,00</v>
      </c>
      <c r="AX134" s="27" t="str">
        <f>"2045-2047"</f>
        <v>2045-2047</v>
      </c>
      <c r="AY134" s="27" t="str">
        <f t="shared" si="94"/>
        <v>нет</v>
      </c>
      <c r="AZ134" s="27" t="str">
        <f>""</f>
        <v/>
      </c>
      <c r="BA134" s="27" t="str">
        <f>""</f>
        <v/>
      </c>
      <c r="BB134" s="27" t="str">
        <f>""</f>
        <v/>
      </c>
      <c r="BC134" s="27" t="str">
        <f t="shared" si="95"/>
        <v>нет</v>
      </c>
      <c r="BD134" s="27" t="str">
        <f>""</f>
        <v/>
      </c>
      <c r="BE134" s="27" t="str">
        <f>""</f>
        <v/>
      </c>
      <c r="BF134" s="27" t="str">
        <f>""</f>
        <v/>
      </c>
      <c r="BG134" s="27" t="str">
        <f>"2009"</f>
        <v>2009</v>
      </c>
      <c r="BH134" s="27" t="str">
        <f>"3,00"</f>
        <v>3,00</v>
      </c>
      <c r="BI134" s="27" t="str">
        <f>"2034-2036"</f>
        <v>2034-2036</v>
      </c>
      <c r="BJ134" s="27" t="str">
        <f t="shared" si="102"/>
        <v>нет</v>
      </c>
      <c r="BK134" s="27" t="str">
        <f t="shared" si="92"/>
        <v>x</v>
      </c>
      <c r="BL134" s="27" t="str">
        <f>"50,00"</f>
        <v>50,00</v>
      </c>
      <c r="BM134" s="27" t="str">
        <f>"2025-2027"</f>
        <v>2025-2027</v>
      </c>
      <c r="BN134" s="27" t="str">
        <f>"2009"</f>
        <v>2009</v>
      </c>
      <c r="BO134" s="27" t="str">
        <f>"13,00"</f>
        <v>13,00</v>
      </c>
      <c r="BP134" s="27" t="str">
        <f>"2039-2041"</f>
        <v>2039-2041</v>
      </c>
      <c r="BQ134" s="27" t="str">
        <f>""</f>
        <v/>
      </c>
      <c r="BR134" s="27" t="str">
        <f>"50,00"</f>
        <v>50,00</v>
      </c>
      <c r="BS134" s="27" t="str">
        <f>"2025-2027"</f>
        <v>2025-2027</v>
      </c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  <c r="CG134" s="11"/>
      <c r="CH134" s="11"/>
      <c r="CI134" s="11"/>
      <c r="CJ134" s="11"/>
      <c r="CK134" s="11"/>
      <c r="CL134" s="11"/>
      <c r="CM134" s="11"/>
      <c r="CN134" s="11"/>
      <c r="CO134" s="11"/>
      <c r="CP134" s="11"/>
      <c r="CQ134" s="11"/>
      <c r="CR134" s="11"/>
      <c r="CS134" s="11"/>
      <c r="CT134" s="11"/>
      <c r="CU134" s="11"/>
      <c r="CV134" s="11"/>
      <c r="CW134" s="11"/>
      <c r="CX134" s="11"/>
      <c r="CY134" s="11"/>
      <c r="CZ134" s="11"/>
      <c r="DA134" s="11"/>
      <c r="DB134" s="11"/>
      <c r="DC134" s="11"/>
      <c r="DD134" s="11"/>
      <c r="DE134" s="11"/>
      <c r="DF134" s="11"/>
      <c r="DG134" s="11"/>
      <c r="DH134" s="11"/>
      <c r="DI134" s="11"/>
      <c r="DJ134" s="11"/>
      <c r="DK134" s="11"/>
      <c r="DL134" s="11"/>
      <c r="DM134" s="11"/>
      <c r="DN134" s="11"/>
      <c r="DO134" s="11"/>
    </row>
    <row r="135" spans="1:119" s="9" customFormat="1" ht="11.25" customHeight="1">
      <c r="A135" s="24" t="str">
        <f>"1.122"</f>
        <v>1.122</v>
      </c>
      <c r="B135" s="25" t="str">
        <f>"г. Кириллов, ул. Урицкого, д.16"</f>
        <v>г. Кириллов, ул. Урицкого, д.16</v>
      </c>
      <c r="C135" s="26" t="str">
        <f>"1976"</f>
        <v>1976</v>
      </c>
      <c r="D135" s="27" t="str">
        <f>"2008"</f>
        <v>2008</v>
      </c>
      <c r="E135" s="27" t="str">
        <f>"17,00"</f>
        <v>17,00</v>
      </c>
      <c r="F135" s="27" t="str">
        <f>"2030-2032"</f>
        <v>2030-2032</v>
      </c>
      <c r="G135" s="27" t="str">
        <f t="shared" si="117"/>
        <v>да</v>
      </c>
      <c r="H135" s="27" t="str">
        <f>"2008"</f>
        <v>2008</v>
      </c>
      <c r="I135" s="27" t="str">
        <f>"25,00"</f>
        <v>25,00</v>
      </c>
      <c r="J135" s="27" t="str">
        <f>"2024-2026"</f>
        <v>2024-2026</v>
      </c>
      <c r="K135" s="27" t="str">
        <f t="shared" si="98"/>
        <v>нет</v>
      </c>
      <c r="L135" s="27" t="str">
        <f>""</f>
        <v/>
      </c>
      <c r="M135" s="27" t="str">
        <f>""</f>
        <v/>
      </c>
      <c r="N135" s="27" t="str">
        <f>""</f>
        <v/>
      </c>
      <c r="O135" s="28" t="str">
        <f>"2008"</f>
        <v>2008</v>
      </c>
      <c r="P135" s="27" t="str">
        <f>"10,00"</f>
        <v>10,00</v>
      </c>
      <c r="Q135" s="27" t="str">
        <f>"2033-2035"</f>
        <v>2033-2035</v>
      </c>
      <c r="R135" s="27" t="str">
        <f t="shared" si="119"/>
        <v>да</v>
      </c>
      <c r="S135" s="27" t="str">
        <f>"2008"</f>
        <v>2008</v>
      </c>
      <c r="T135" s="27" t="str">
        <f>"30,00"</f>
        <v>30,00</v>
      </c>
      <c r="U135" s="27" t="str">
        <f>"2024-2026"</f>
        <v>2024-2026</v>
      </c>
      <c r="V135" s="27" t="str">
        <f t="shared" si="99"/>
        <v>нет</v>
      </c>
      <c r="W135" s="27" t="str">
        <f>""</f>
        <v/>
      </c>
      <c r="X135" s="27" t="str">
        <f>""</f>
        <v/>
      </c>
      <c r="Y135" s="29" t="str">
        <f>""</f>
        <v/>
      </c>
      <c r="Z135" s="27" t="str">
        <f t="shared" si="101"/>
        <v>х</v>
      </c>
      <c r="AA135" s="27" t="str">
        <f>"74,00"</f>
        <v>74,00</v>
      </c>
      <c r="AB135" s="27" t="str">
        <f>"2020-2022"</f>
        <v>2020-2022</v>
      </c>
      <c r="AC135" s="27" t="str">
        <f t="shared" si="96"/>
        <v>нет</v>
      </c>
      <c r="AD135" s="27" t="str">
        <f t="shared" si="104"/>
        <v>х</v>
      </c>
      <c r="AE135" s="27" t="str">
        <f t="shared" si="104"/>
        <v>х</v>
      </c>
      <c r="AF135" s="27" t="str">
        <f t="shared" si="104"/>
        <v>х</v>
      </c>
      <c r="AG135" s="27" t="str">
        <f t="shared" si="97"/>
        <v>нет</v>
      </c>
      <c r="AH135" s="27" t="str">
        <f t="shared" si="105"/>
        <v>х</v>
      </c>
      <c r="AI135" s="27" t="str">
        <f t="shared" si="105"/>
        <v>х</v>
      </c>
      <c r="AJ135" s="27" t="str">
        <f t="shared" si="105"/>
        <v>х</v>
      </c>
      <c r="AK135" s="28" t="str">
        <f>"2008"</f>
        <v>2008</v>
      </c>
      <c r="AL135" s="27" t="str">
        <f>"17,00"</f>
        <v>17,00</v>
      </c>
      <c r="AM135" s="27" t="str">
        <f>"2038-2040"</f>
        <v>2038-2040</v>
      </c>
      <c r="AN135" s="30" t="str">
        <f t="shared" ref="AN135:AN152" si="120">"нет"</f>
        <v>нет</v>
      </c>
      <c r="AO135" s="27" t="str">
        <f>""</f>
        <v/>
      </c>
      <c r="AP135" s="27" t="str">
        <f>""</f>
        <v/>
      </c>
      <c r="AQ135" s="27" t="str">
        <f>""</f>
        <v/>
      </c>
      <c r="AR135" s="27" t="str">
        <f t="shared" ref="AR135:AR160" si="121">"нет"</f>
        <v>нет</v>
      </c>
      <c r="AS135" s="27" t="str">
        <f>""</f>
        <v/>
      </c>
      <c r="AT135" s="27" t="str">
        <f>""</f>
        <v/>
      </c>
      <c r="AU135" s="27" t="str">
        <f>""</f>
        <v/>
      </c>
      <c r="AV135" s="27" t="str">
        <f>"2008"</f>
        <v>2008</v>
      </c>
      <c r="AW135" s="27" t="str">
        <f>"10,00"</f>
        <v>10,00</v>
      </c>
      <c r="AX135" s="27" t="str">
        <f>"2045-2047"</f>
        <v>2045-2047</v>
      </c>
      <c r="AY135" s="27" t="str">
        <f t="shared" ref="AY135:AY160" si="122">"нет"</f>
        <v>нет</v>
      </c>
      <c r="AZ135" s="27" t="str">
        <f>""</f>
        <v/>
      </c>
      <c r="BA135" s="27" t="str">
        <f>""</f>
        <v/>
      </c>
      <c r="BB135" s="27" t="str">
        <f>""</f>
        <v/>
      </c>
      <c r="BC135" s="27" t="str">
        <f t="shared" ref="BC135:BC160" si="123">"нет"</f>
        <v>нет</v>
      </c>
      <c r="BD135" s="27" t="str">
        <f>""</f>
        <v/>
      </c>
      <c r="BE135" s="27" t="str">
        <f>""</f>
        <v/>
      </c>
      <c r="BF135" s="27" t="str">
        <f>""</f>
        <v/>
      </c>
      <c r="BG135" s="27" t="str">
        <f>"2008"</f>
        <v>2008</v>
      </c>
      <c r="BH135" s="27" t="str">
        <f>"33,00"</f>
        <v>33,00</v>
      </c>
      <c r="BI135" s="27" t="str">
        <f>"2028-2030"</f>
        <v>2028-2030</v>
      </c>
      <c r="BJ135" s="27" t="str">
        <f t="shared" si="102"/>
        <v>нет</v>
      </c>
      <c r="BK135" s="27" t="str">
        <f t="shared" si="92"/>
        <v>x</v>
      </c>
      <c r="BL135" s="27" t="str">
        <f>"50,00"</f>
        <v>50,00</v>
      </c>
      <c r="BM135" s="27" t="str">
        <f>"2026-2028"</f>
        <v>2026-2028</v>
      </c>
      <c r="BN135" s="27" t="str">
        <f>""</f>
        <v/>
      </c>
      <c r="BO135" s="27" t="str">
        <f>"60,00"</f>
        <v>60,00</v>
      </c>
      <c r="BP135" s="27" t="str">
        <f>"2026-2028"</f>
        <v>2026-2028</v>
      </c>
      <c r="BQ135" s="27" t="str">
        <f>""</f>
        <v/>
      </c>
      <c r="BR135" s="27" t="str">
        <f>"50,00"</f>
        <v>50,00</v>
      </c>
      <c r="BS135" s="27" t="str">
        <f>"2026-2028"</f>
        <v>2026-2028</v>
      </c>
      <c r="BT135" s="11"/>
      <c r="BU135" s="11"/>
      <c r="BV135" s="11"/>
      <c r="BW135" s="11"/>
      <c r="BX135" s="11"/>
      <c r="BY135" s="11"/>
      <c r="BZ135" s="11"/>
      <c r="CA135" s="11"/>
      <c r="CB135" s="11"/>
      <c r="CC135" s="11"/>
      <c r="CD135" s="11"/>
      <c r="CE135" s="11"/>
      <c r="CF135" s="11"/>
      <c r="CG135" s="11"/>
      <c r="CH135" s="11"/>
      <c r="CI135" s="11"/>
      <c r="CJ135" s="11"/>
      <c r="CK135" s="11"/>
      <c r="CL135" s="11"/>
      <c r="CM135" s="11"/>
      <c r="CN135" s="11"/>
      <c r="CO135" s="11"/>
      <c r="CP135" s="11"/>
      <c r="CQ135" s="11"/>
      <c r="CR135" s="11"/>
      <c r="CS135" s="11"/>
      <c r="CT135" s="11"/>
      <c r="CU135" s="11"/>
      <c r="CV135" s="11"/>
      <c r="CW135" s="11"/>
      <c r="CX135" s="11"/>
      <c r="CY135" s="11"/>
      <c r="CZ135" s="11"/>
      <c r="DA135" s="11"/>
      <c r="DB135" s="11"/>
      <c r="DC135" s="11"/>
      <c r="DD135" s="11"/>
      <c r="DE135" s="11"/>
      <c r="DF135" s="11"/>
      <c r="DG135" s="11"/>
      <c r="DH135" s="11"/>
      <c r="DI135" s="11"/>
      <c r="DJ135" s="11"/>
      <c r="DK135" s="11"/>
      <c r="DL135" s="11"/>
      <c r="DM135" s="11"/>
      <c r="DN135" s="11"/>
      <c r="DO135" s="11"/>
    </row>
    <row r="136" spans="1:119" s="10" customFormat="1" ht="11.25" customHeight="1">
      <c r="A136" s="24" t="str">
        <f>"1.123"</f>
        <v>1.123</v>
      </c>
      <c r="B136" s="25" t="str">
        <f>"г. Кириллов, ул. Урицкого, д.3"</f>
        <v>г. Кириллов, ул. Урицкого, д.3</v>
      </c>
      <c r="C136" s="26" t="str">
        <f>"1986"</f>
        <v>1986</v>
      </c>
      <c r="D136" s="27" t="str">
        <f>"1986"</f>
        <v>1986</v>
      </c>
      <c r="E136" s="27" t="str">
        <f>"89,00"</f>
        <v>89,00</v>
      </c>
      <c r="F136" s="27" t="str">
        <f>"2028-2030"</f>
        <v>2028-2030</v>
      </c>
      <c r="G136" s="27" t="str">
        <f t="shared" si="117"/>
        <v>да</v>
      </c>
      <c r="H136" s="27" t="str">
        <f>"2009"</f>
        <v>2009</v>
      </c>
      <c r="I136" s="27" t="str">
        <f>"25,00"</f>
        <v>25,00</v>
      </c>
      <c r="J136" s="27" t="str">
        <f>"2025-2027"</f>
        <v>2025-2027</v>
      </c>
      <c r="K136" s="27" t="str">
        <f t="shared" si="98"/>
        <v>нет</v>
      </c>
      <c r="L136" s="27" t="str">
        <f>""</f>
        <v/>
      </c>
      <c r="M136" s="27" t="str">
        <f>""</f>
        <v/>
      </c>
      <c r="N136" s="27" t="str">
        <f>""</f>
        <v/>
      </c>
      <c r="O136" s="28" t="str">
        <f>""</f>
        <v/>
      </c>
      <c r="P136" s="27" t="str">
        <f>"68,00"</f>
        <v>68,00</v>
      </c>
      <c r="Q136" s="27" t="str">
        <f>"2023-2025"</f>
        <v>2023-2025</v>
      </c>
      <c r="R136" s="27" t="str">
        <f t="shared" si="119"/>
        <v>да</v>
      </c>
      <c r="S136" s="27" t="str">
        <f>"2009"</f>
        <v>2009</v>
      </c>
      <c r="T136" s="27" t="str">
        <f>"24,00"</f>
        <v>24,00</v>
      </c>
      <c r="U136" s="27" t="str">
        <f>"2025-2027"</f>
        <v>2025-2027</v>
      </c>
      <c r="V136" s="27" t="str">
        <f t="shared" si="99"/>
        <v>нет</v>
      </c>
      <c r="W136" s="27" t="str">
        <f>""</f>
        <v/>
      </c>
      <c r="X136" s="27" t="str">
        <f>""</f>
        <v/>
      </c>
      <c r="Y136" s="29" t="str">
        <f>""</f>
        <v/>
      </c>
      <c r="Z136" s="27" t="str">
        <f t="shared" si="101"/>
        <v>х</v>
      </c>
      <c r="AA136" s="27" t="str">
        <f>"х"</f>
        <v>х</v>
      </c>
      <c r="AB136" s="27" t="str">
        <f>"х"</f>
        <v>х</v>
      </c>
      <c r="AC136" s="27" t="str">
        <f t="shared" si="96"/>
        <v>нет</v>
      </c>
      <c r="AD136" s="27" t="str">
        <f t="shared" ref="AD136:AF155" si="124">"х"</f>
        <v>х</v>
      </c>
      <c r="AE136" s="27" t="str">
        <f t="shared" si="124"/>
        <v>х</v>
      </c>
      <c r="AF136" s="27" t="str">
        <f t="shared" si="124"/>
        <v>х</v>
      </c>
      <c r="AG136" s="27" t="str">
        <f t="shared" si="97"/>
        <v>нет</v>
      </c>
      <c r="AH136" s="27" t="str">
        <f t="shared" ref="AH136:AJ155" si="125">"х"</f>
        <v>х</v>
      </c>
      <c r="AI136" s="27" t="str">
        <f t="shared" si="125"/>
        <v>х</v>
      </c>
      <c r="AJ136" s="27" t="str">
        <f t="shared" si="125"/>
        <v>х</v>
      </c>
      <c r="AK136" s="28" t="str">
        <f>""</f>
        <v/>
      </c>
      <c r="AL136" s="27" t="str">
        <f>"80,00"</f>
        <v>80,00</v>
      </c>
      <c r="AM136" s="27" t="str">
        <f>"2025-2027"</f>
        <v>2025-2027</v>
      </c>
      <c r="AN136" s="30" t="str">
        <f t="shared" si="120"/>
        <v>нет</v>
      </c>
      <c r="AO136" s="27" t="str">
        <f>""</f>
        <v/>
      </c>
      <c r="AP136" s="27" t="str">
        <f>""</f>
        <v/>
      </c>
      <c r="AQ136" s="27" t="str">
        <f>""</f>
        <v/>
      </c>
      <c r="AR136" s="27" t="str">
        <f t="shared" si="121"/>
        <v>нет</v>
      </c>
      <c r="AS136" s="27" t="str">
        <f>""</f>
        <v/>
      </c>
      <c r="AT136" s="27" t="str">
        <f>""</f>
        <v/>
      </c>
      <c r="AU136" s="27" t="str">
        <f>""</f>
        <v/>
      </c>
      <c r="AV136" s="27" t="str">
        <f>"2012"</f>
        <v>2012</v>
      </c>
      <c r="AW136" s="27" t="str">
        <f>"4,00"</f>
        <v>4,00</v>
      </c>
      <c r="AX136" s="27" t="str">
        <f>"2045-2047"</f>
        <v>2045-2047</v>
      </c>
      <c r="AY136" s="27" t="str">
        <f t="shared" si="122"/>
        <v>нет</v>
      </c>
      <c r="AZ136" s="27" t="str">
        <f>""</f>
        <v/>
      </c>
      <c r="BA136" s="27" t="str">
        <f>""</f>
        <v/>
      </c>
      <c r="BB136" s="27" t="str">
        <f>""</f>
        <v/>
      </c>
      <c r="BC136" s="27" t="str">
        <f t="shared" si="123"/>
        <v>нет</v>
      </c>
      <c r="BD136" s="27" t="str">
        <f>""</f>
        <v/>
      </c>
      <c r="BE136" s="27" t="str">
        <f>""</f>
        <v/>
      </c>
      <c r="BF136" s="27" t="str">
        <f>""</f>
        <v/>
      </c>
      <c r="BG136" s="27" t="str">
        <f>"2008"</f>
        <v>2008</v>
      </c>
      <c r="BH136" s="27" t="str">
        <f>"33,00"</f>
        <v>33,00</v>
      </c>
      <c r="BI136" s="27" t="str">
        <f>"2028-2030"</f>
        <v>2028-2030</v>
      </c>
      <c r="BJ136" s="27" t="str">
        <f t="shared" si="102"/>
        <v>нет</v>
      </c>
      <c r="BK136" s="27" t="str">
        <f t="shared" si="92"/>
        <v>x</v>
      </c>
      <c r="BL136" s="27" t="str">
        <f>"45,00"</f>
        <v>45,00</v>
      </c>
      <c r="BM136" s="27" t="str">
        <f>"2028-2030"</f>
        <v>2028-2030</v>
      </c>
      <c r="BN136" s="27" t="str">
        <f>""</f>
        <v/>
      </c>
      <c r="BO136" s="27" t="str">
        <f>"60,00"</f>
        <v>60,00</v>
      </c>
      <c r="BP136" s="27" t="str">
        <f>"2035-2037"</f>
        <v>2035-2037</v>
      </c>
      <c r="BQ136" s="27" t="str">
        <f>""</f>
        <v/>
      </c>
      <c r="BR136" s="27" t="str">
        <f>"45,00"</f>
        <v>45,00</v>
      </c>
      <c r="BS136" s="27" t="str">
        <f>"2028-2030"</f>
        <v>2028-2030</v>
      </c>
      <c r="BT136" s="11"/>
      <c r="BU136" s="11"/>
      <c r="BV136" s="11"/>
      <c r="BW136" s="11"/>
      <c r="BX136" s="11"/>
      <c r="BY136" s="11"/>
      <c r="BZ136" s="11"/>
      <c r="CA136" s="11"/>
      <c r="CB136" s="11"/>
      <c r="CC136" s="11"/>
      <c r="CD136" s="11"/>
      <c r="CE136" s="11"/>
      <c r="CF136" s="11"/>
      <c r="CG136" s="11"/>
      <c r="CH136" s="11"/>
      <c r="CI136" s="11"/>
      <c r="CJ136" s="11"/>
      <c r="CK136" s="11"/>
      <c r="CL136" s="11"/>
      <c r="CM136" s="11"/>
      <c r="CN136" s="11"/>
      <c r="CO136" s="11"/>
      <c r="CP136" s="11"/>
      <c r="CQ136" s="11"/>
      <c r="CR136" s="11"/>
      <c r="CS136" s="11"/>
      <c r="CT136" s="11"/>
      <c r="CU136" s="11"/>
      <c r="CV136" s="11"/>
      <c r="CW136" s="11"/>
      <c r="CX136" s="11"/>
      <c r="CY136" s="11"/>
      <c r="CZ136" s="11"/>
      <c r="DA136" s="11"/>
      <c r="DB136" s="11"/>
      <c r="DC136" s="11"/>
      <c r="DD136" s="11"/>
      <c r="DE136" s="11"/>
      <c r="DF136" s="11"/>
      <c r="DG136" s="11"/>
      <c r="DH136" s="11"/>
      <c r="DI136" s="11"/>
      <c r="DJ136" s="11"/>
      <c r="DK136" s="11"/>
      <c r="DL136" s="11"/>
      <c r="DM136" s="11"/>
      <c r="DN136" s="11"/>
      <c r="DO136" s="11"/>
    </row>
    <row r="137" spans="1:119" s="10" customFormat="1" ht="11.25" customHeight="1">
      <c r="A137" s="24" t="str">
        <f>"1.124"</f>
        <v>1.124</v>
      </c>
      <c r="B137" s="25" t="str">
        <f>"г. Кириллов, ул. Урицкого, д.4"</f>
        <v>г. Кириллов, ул. Урицкого, д.4</v>
      </c>
      <c r="C137" s="26" t="str">
        <f>"1991"</f>
        <v>1991</v>
      </c>
      <c r="D137" s="27" t="str">
        <f>"1991"</f>
        <v>1991</v>
      </c>
      <c r="E137" s="27" t="str">
        <f>"78,00"</f>
        <v>78,00</v>
      </c>
      <c r="F137" s="27" t="str">
        <f>"2032-2034"</f>
        <v>2032-2034</v>
      </c>
      <c r="G137" s="27" t="str">
        <f t="shared" si="117"/>
        <v>да</v>
      </c>
      <c r="H137" s="27" t="str">
        <f>"2011"</f>
        <v>2011</v>
      </c>
      <c r="I137" s="27" t="str">
        <f>"13,00"</f>
        <v>13,00</v>
      </c>
      <c r="J137" s="27" t="str">
        <f>"2027-2029"</f>
        <v>2027-2029</v>
      </c>
      <c r="K137" s="27" t="str">
        <f t="shared" si="98"/>
        <v>нет</v>
      </c>
      <c r="L137" s="27" t="str">
        <f>""</f>
        <v/>
      </c>
      <c r="M137" s="27" t="str">
        <f>""</f>
        <v/>
      </c>
      <c r="N137" s="27" t="str">
        <f>""</f>
        <v/>
      </c>
      <c r="O137" s="28" t="str">
        <f>""</f>
        <v/>
      </c>
      <c r="P137" s="27" t="str">
        <f>"88,00"</f>
        <v>88,00</v>
      </c>
      <c r="Q137" s="27" t="str">
        <f>"2031-2033"</f>
        <v>2031-2033</v>
      </c>
      <c r="R137" s="27" t="str">
        <f t="shared" si="119"/>
        <v>да</v>
      </c>
      <c r="S137" s="27" t="str">
        <f>"2011"</f>
        <v>2011</v>
      </c>
      <c r="T137" s="27" t="str">
        <f>"12,00"</f>
        <v>12,00</v>
      </c>
      <c r="U137" s="27" t="str">
        <f>"2027-2029"</f>
        <v>2027-2029</v>
      </c>
      <c r="V137" s="27" t="str">
        <f t="shared" si="99"/>
        <v>нет</v>
      </c>
      <c r="W137" s="27" t="str">
        <f>""</f>
        <v/>
      </c>
      <c r="X137" s="27" t="str">
        <f>""</f>
        <v/>
      </c>
      <c r="Y137" s="29" t="str">
        <f>""</f>
        <v/>
      </c>
      <c r="Z137" s="27" t="str">
        <f t="shared" si="101"/>
        <v>х</v>
      </c>
      <c r="AA137" s="27" t="str">
        <f>"38,00"</f>
        <v>38,00</v>
      </c>
      <c r="AB137" s="27" t="str">
        <f>"2032-2034"</f>
        <v>2032-2034</v>
      </c>
      <c r="AC137" s="27" t="str">
        <f t="shared" ref="AC137:AC160" si="126">"нет"</f>
        <v>нет</v>
      </c>
      <c r="AD137" s="27" t="str">
        <f t="shared" si="124"/>
        <v>х</v>
      </c>
      <c r="AE137" s="27" t="str">
        <f t="shared" si="124"/>
        <v>х</v>
      </c>
      <c r="AF137" s="27" t="str">
        <f t="shared" si="124"/>
        <v>х</v>
      </c>
      <c r="AG137" s="27" t="str">
        <f t="shared" ref="AG137:AG160" si="127">"нет"</f>
        <v>нет</v>
      </c>
      <c r="AH137" s="27" t="str">
        <f t="shared" si="125"/>
        <v>х</v>
      </c>
      <c r="AI137" s="27" t="str">
        <f t="shared" si="125"/>
        <v>х</v>
      </c>
      <c r="AJ137" s="27" t="str">
        <f t="shared" si="125"/>
        <v>х</v>
      </c>
      <c r="AK137" s="28" t="str">
        <f>""</f>
        <v/>
      </c>
      <c r="AL137" s="27" t="str">
        <f>"73,00"</f>
        <v>73,00</v>
      </c>
      <c r="AM137" s="27" t="str">
        <f>"2021-2023"</f>
        <v>2021-2023</v>
      </c>
      <c r="AN137" s="30" t="str">
        <f t="shared" si="120"/>
        <v>нет</v>
      </c>
      <c r="AO137" s="27" t="str">
        <f>""</f>
        <v/>
      </c>
      <c r="AP137" s="27" t="str">
        <f>""</f>
        <v/>
      </c>
      <c r="AQ137" s="27" t="str">
        <f>""</f>
        <v/>
      </c>
      <c r="AR137" s="27" t="str">
        <f t="shared" si="121"/>
        <v>нет</v>
      </c>
      <c r="AS137" s="27" t="str">
        <f>""</f>
        <v/>
      </c>
      <c r="AT137" s="27" t="str">
        <f>""</f>
        <v/>
      </c>
      <c r="AU137" s="27" t="str">
        <f>""</f>
        <v/>
      </c>
      <c r="AV137" s="27" t="str">
        <f>""</f>
        <v/>
      </c>
      <c r="AW137" s="27" t="str">
        <f>"44,00"</f>
        <v>44,00</v>
      </c>
      <c r="AX137" s="27" t="str">
        <f>"2031-2033"</f>
        <v>2031-2033</v>
      </c>
      <c r="AY137" s="27" t="str">
        <f t="shared" si="122"/>
        <v>нет</v>
      </c>
      <c r="AZ137" s="27" t="str">
        <f>""</f>
        <v/>
      </c>
      <c r="BA137" s="27" t="str">
        <f>""</f>
        <v/>
      </c>
      <c r="BB137" s="27" t="str">
        <f>""</f>
        <v/>
      </c>
      <c r="BC137" s="27" t="str">
        <f t="shared" si="123"/>
        <v>нет</v>
      </c>
      <c r="BD137" s="27" t="str">
        <f>""</f>
        <v/>
      </c>
      <c r="BE137" s="27" t="str">
        <f>""</f>
        <v/>
      </c>
      <c r="BF137" s="27" t="str">
        <f>""</f>
        <v/>
      </c>
      <c r="BG137" s="27" t="str">
        <f>""</f>
        <v/>
      </c>
      <c r="BH137" s="27" t="str">
        <f>"55,00"</f>
        <v>55,00</v>
      </c>
      <c r="BI137" s="27" t="str">
        <f>"2019-2021"</f>
        <v>2019-2021</v>
      </c>
      <c r="BJ137" s="27" t="str">
        <f t="shared" si="102"/>
        <v>нет</v>
      </c>
      <c r="BK137" s="27" t="str">
        <f t="shared" si="92"/>
        <v>x</v>
      </c>
      <c r="BL137" s="27" t="str">
        <f>"44,00"</f>
        <v>44,00</v>
      </c>
      <c r="BM137" s="27" t="str">
        <f>"2032-2034"</f>
        <v>2032-2034</v>
      </c>
      <c r="BN137" s="27" t="str">
        <f>""</f>
        <v/>
      </c>
      <c r="BO137" s="27" t="str">
        <f>"44,00"</f>
        <v>44,00</v>
      </c>
      <c r="BP137" s="27" t="str">
        <f>"2036-2038"</f>
        <v>2036-2038</v>
      </c>
      <c r="BQ137" s="27" t="str">
        <f>""</f>
        <v/>
      </c>
      <c r="BR137" s="27" t="str">
        <f>"44,00"</f>
        <v>44,00</v>
      </c>
      <c r="BS137" s="27" t="str">
        <f>"2032-2034"</f>
        <v>2032-2034</v>
      </c>
      <c r="BT137" s="11"/>
      <c r="BU137" s="11"/>
      <c r="BV137" s="11"/>
      <c r="BW137" s="11"/>
      <c r="BX137" s="11"/>
      <c r="BY137" s="11"/>
      <c r="BZ137" s="11"/>
      <c r="CA137" s="11"/>
      <c r="CB137" s="11"/>
      <c r="CC137" s="11"/>
      <c r="CD137" s="11"/>
      <c r="CE137" s="11"/>
      <c r="CF137" s="11"/>
      <c r="CG137" s="11"/>
      <c r="CH137" s="11"/>
      <c r="CI137" s="11"/>
      <c r="CJ137" s="11"/>
      <c r="CK137" s="11"/>
      <c r="CL137" s="11"/>
      <c r="CM137" s="11"/>
      <c r="CN137" s="11"/>
      <c r="CO137" s="11"/>
      <c r="CP137" s="11"/>
      <c r="CQ137" s="11"/>
      <c r="CR137" s="11"/>
      <c r="CS137" s="11"/>
      <c r="CT137" s="11"/>
      <c r="CU137" s="11"/>
      <c r="CV137" s="11"/>
      <c r="CW137" s="11"/>
      <c r="CX137" s="11"/>
      <c r="CY137" s="11"/>
      <c r="CZ137" s="11"/>
      <c r="DA137" s="11"/>
      <c r="DB137" s="11"/>
      <c r="DC137" s="11"/>
      <c r="DD137" s="11"/>
      <c r="DE137" s="11"/>
      <c r="DF137" s="11"/>
      <c r="DG137" s="11"/>
      <c r="DH137" s="11"/>
      <c r="DI137" s="11"/>
      <c r="DJ137" s="11"/>
      <c r="DK137" s="11"/>
      <c r="DL137" s="11"/>
      <c r="DM137" s="11"/>
      <c r="DN137" s="11"/>
      <c r="DO137" s="11"/>
    </row>
    <row r="138" spans="1:119" s="10" customFormat="1" ht="11.25" customHeight="1">
      <c r="A138" s="24" t="str">
        <f>"1.125"</f>
        <v>1.125</v>
      </c>
      <c r="B138" s="25" t="str">
        <f>"г. Кириллов, ул. Урицкого, д.40"</f>
        <v>г. Кириллов, ул. Урицкого, д.40</v>
      </c>
      <c r="C138" s="26" t="str">
        <f>"1987"</f>
        <v>1987</v>
      </c>
      <c r="D138" s="27" t="str">
        <f>""</f>
        <v/>
      </c>
      <c r="E138" s="27" t="str">
        <f>"95,00"</f>
        <v>95,00</v>
      </c>
      <c r="F138" s="27" t="str">
        <f>"2028-2030"</f>
        <v>2028-2030</v>
      </c>
      <c r="G138" s="27" t="str">
        <f t="shared" si="117"/>
        <v>да</v>
      </c>
      <c r="H138" s="27" t="str">
        <f>"2010"</f>
        <v>2010</v>
      </c>
      <c r="I138" s="27" t="str">
        <f>"19,00"</f>
        <v>19,00</v>
      </c>
      <c r="J138" s="27" t="str">
        <f>"2026-2028"</f>
        <v>2026-2028</v>
      </c>
      <c r="K138" s="27" t="str">
        <f t="shared" si="98"/>
        <v>нет</v>
      </c>
      <c r="L138" s="27" t="str">
        <f>""</f>
        <v/>
      </c>
      <c r="M138" s="27" t="str">
        <f>""</f>
        <v/>
      </c>
      <c r="N138" s="27" t="str">
        <f>""</f>
        <v/>
      </c>
      <c r="O138" s="28" t="str">
        <f>""</f>
        <v/>
      </c>
      <c r="P138" s="27" t="str">
        <f>""</f>
        <v/>
      </c>
      <c r="Q138" s="27" t="str">
        <f>""</f>
        <v/>
      </c>
      <c r="R138" s="27" t="str">
        <f>"нет"</f>
        <v>нет</v>
      </c>
      <c r="S138" s="27" t="str">
        <f>""</f>
        <v/>
      </c>
      <c r="T138" s="27" t="str">
        <f>""</f>
        <v/>
      </c>
      <c r="U138" s="27" t="str">
        <f>""</f>
        <v/>
      </c>
      <c r="V138" s="27" t="str">
        <f t="shared" si="99"/>
        <v>нет</v>
      </c>
      <c r="W138" s="27" t="str">
        <f>""</f>
        <v/>
      </c>
      <c r="X138" s="27" t="str">
        <f>""</f>
        <v/>
      </c>
      <c r="Y138" s="29" t="str">
        <f>""</f>
        <v/>
      </c>
      <c r="Z138" s="27" t="str">
        <f t="shared" si="101"/>
        <v>х</v>
      </c>
      <c r="AA138" s="27" t="str">
        <f>"х"</f>
        <v>х</v>
      </c>
      <c r="AB138" s="27" t="str">
        <f>"х"</f>
        <v>х</v>
      </c>
      <c r="AC138" s="27" t="str">
        <f t="shared" si="126"/>
        <v>нет</v>
      </c>
      <c r="AD138" s="27" t="str">
        <f t="shared" si="124"/>
        <v>х</v>
      </c>
      <c r="AE138" s="27" t="str">
        <f t="shared" si="124"/>
        <v>х</v>
      </c>
      <c r="AF138" s="27" t="str">
        <f t="shared" si="124"/>
        <v>х</v>
      </c>
      <c r="AG138" s="27" t="str">
        <f t="shared" si="127"/>
        <v>нет</v>
      </c>
      <c r="AH138" s="27" t="str">
        <f t="shared" si="125"/>
        <v>х</v>
      </c>
      <c r="AI138" s="27" t="str">
        <f t="shared" si="125"/>
        <v>х</v>
      </c>
      <c r="AJ138" s="27" t="str">
        <f t="shared" si="125"/>
        <v>х</v>
      </c>
      <c r="AK138" s="28" t="str">
        <f>"1995"</f>
        <v>1995</v>
      </c>
      <c r="AL138" s="27" t="str">
        <f>"60,00"</f>
        <v>60,00</v>
      </c>
      <c r="AM138" s="27" t="str">
        <f>"2027-2029"</f>
        <v>2027-2029</v>
      </c>
      <c r="AN138" s="30" t="str">
        <f t="shared" si="120"/>
        <v>нет</v>
      </c>
      <c r="AO138" s="27" t="str">
        <f>""</f>
        <v/>
      </c>
      <c r="AP138" s="27" t="str">
        <f>""</f>
        <v/>
      </c>
      <c r="AQ138" s="27" t="str">
        <f>""</f>
        <v/>
      </c>
      <c r="AR138" s="27" t="str">
        <f t="shared" si="121"/>
        <v>нет</v>
      </c>
      <c r="AS138" s="27" t="str">
        <f>""</f>
        <v/>
      </c>
      <c r="AT138" s="27" t="str">
        <f>""</f>
        <v/>
      </c>
      <c r="AU138" s="27" t="str">
        <f>""</f>
        <v/>
      </c>
      <c r="AV138" s="27" t="str">
        <f>"2000"</f>
        <v>2000</v>
      </c>
      <c r="AW138" s="27" t="str">
        <f>"26,00"</f>
        <v>26,00</v>
      </c>
      <c r="AX138" s="27" t="str">
        <f>"2040-2042"</f>
        <v>2040-2042</v>
      </c>
      <c r="AY138" s="27" t="str">
        <f t="shared" si="122"/>
        <v>нет</v>
      </c>
      <c r="AZ138" s="27" t="str">
        <f>""</f>
        <v/>
      </c>
      <c r="BA138" s="27" t="str">
        <f>""</f>
        <v/>
      </c>
      <c r="BB138" s="27" t="str">
        <f>""</f>
        <v/>
      </c>
      <c r="BC138" s="27" t="str">
        <f t="shared" si="123"/>
        <v>нет</v>
      </c>
      <c r="BD138" s="27" t="str">
        <f>""</f>
        <v/>
      </c>
      <c r="BE138" s="27" t="str">
        <f>""</f>
        <v/>
      </c>
      <c r="BF138" s="27" t="str">
        <f>""</f>
        <v/>
      </c>
      <c r="BG138" s="27" t="str">
        <f>""</f>
        <v/>
      </c>
      <c r="BH138" s="27" t="str">
        <f>"65,00"</f>
        <v>65,00</v>
      </c>
      <c r="BI138" s="27" t="str">
        <f>"2036-2038"</f>
        <v>2036-2038</v>
      </c>
      <c r="BJ138" s="27" t="str">
        <f t="shared" si="102"/>
        <v>нет</v>
      </c>
      <c r="BK138" s="27" t="str">
        <f t="shared" si="92"/>
        <v>x</v>
      </c>
      <c r="BL138" s="27" t="str">
        <f>"50,00"</f>
        <v>50,00</v>
      </c>
      <c r="BM138" s="27" t="str">
        <f>"2019-2021"</f>
        <v>2019-2021</v>
      </c>
      <c r="BN138" s="27" t="str">
        <f>""</f>
        <v/>
      </c>
      <c r="BO138" s="27" t="str">
        <f>"60,00"</f>
        <v>60,00</v>
      </c>
      <c r="BP138" s="27" t="str">
        <f>"2032-2034"</f>
        <v>2032-2034</v>
      </c>
      <c r="BQ138" s="27" t="str">
        <f>""</f>
        <v/>
      </c>
      <c r="BR138" s="27" t="str">
        <f>"50,00"</f>
        <v>50,00</v>
      </c>
      <c r="BS138" s="27" t="str">
        <f>"2019-2021"</f>
        <v>2019-2021</v>
      </c>
      <c r="BT138" s="11"/>
      <c r="BU138" s="11"/>
      <c r="BV138" s="11"/>
      <c r="BW138" s="11"/>
      <c r="BX138" s="11"/>
      <c r="BY138" s="11"/>
      <c r="BZ138" s="11"/>
      <c r="CA138" s="11"/>
      <c r="CB138" s="11"/>
      <c r="CC138" s="11"/>
      <c r="CD138" s="11"/>
      <c r="CE138" s="11"/>
      <c r="CF138" s="11"/>
      <c r="CG138" s="11"/>
      <c r="CH138" s="11"/>
      <c r="CI138" s="11"/>
      <c r="CJ138" s="11"/>
      <c r="CK138" s="11"/>
      <c r="CL138" s="11"/>
      <c r="CM138" s="11"/>
      <c r="CN138" s="11"/>
      <c r="CO138" s="11"/>
      <c r="CP138" s="11"/>
      <c r="CQ138" s="11"/>
      <c r="CR138" s="11"/>
      <c r="CS138" s="11"/>
      <c r="CT138" s="11"/>
      <c r="CU138" s="11"/>
      <c r="CV138" s="11"/>
      <c r="CW138" s="11"/>
      <c r="CX138" s="11"/>
      <c r="CY138" s="11"/>
      <c r="CZ138" s="11"/>
      <c r="DA138" s="11"/>
      <c r="DB138" s="11"/>
      <c r="DC138" s="11"/>
      <c r="DD138" s="11"/>
      <c r="DE138" s="11"/>
      <c r="DF138" s="11"/>
      <c r="DG138" s="11"/>
      <c r="DH138" s="11"/>
      <c r="DI138" s="11"/>
      <c r="DJ138" s="11"/>
      <c r="DK138" s="11"/>
      <c r="DL138" s="11"/>
      <c r="DM138" s="11"/>
      <c r="DN138" s="11"/>
      <c r="DO138" s="11"/>
    </row>
    <row r="139" spans="1:119" s="10" customFormat="1" ht="11.25" customHeight="1">
      <c r="A139" s="24" t="str">
        <f>"1.126"</f>
        <v>1.126</v>
      </c>
      <c r="B139" s="25" t="str">
        <f>"г. Кириллов, ул. Урицкого, д.5"</f>
        <v>г. Кириллов, ул. Урицкого, д.5</v>
      </c>
      <c r="C139" s="26" t="str">
        <f>"1917"</f>
        <v>1917</v>
      </c>
      <c r="D139" s="27" t="str">
        <f>"1970"</f>
        <v>1970</v>
      </c>
      <c r="E139" s="27" t="str">
        <f>"90,00"</f>
        <v>90,00</v>
      </c>
      <c r="F139" s="27" t="str">
        <f>"2021-2023"</f>
        <v>2021-2023</v>
      </c>
      <c r="G139" s="27" t="str">
        <f t="shared" si="117"/>
        <v>да</v>
      </c>
      <c r="H139" s="27" t="str">
        <f>"2011"</f>
        <v>2011</v>
      </c>
      <c r="I139" s="27" t="str">
        <f>"13,00"</f>
        <v>13,00</v>
      </c>
      <c r="J139" s="27" t="str">
        <f>"2027-2029"</f>
        <v>2027-2029</v>
      </c>
      <c r="K139" s="27" t="str">
        <f t="shared" si="98"/>
        <v>нет</v>
      </c>
      <c r="L139" s="27" t="str">
        <f>""</f>
        <v/>
      </c>
      <c r="M139" s="27" t="str">
        <f>""</f>
        <v/>
      </c>
      <c r="N139" s="27" t="str">
        <f>""</f>
        <v/>
      </c>
      <c r="O139" s="28" t="str">
        <f>""</f>
        <v/>
      </c>
      <c r="P139" s="27" t="str">
        <f>""</f>
        <v/>
      </c>
      <c r="Q139" s="27" t="str">
        <f>""</f>
        <v/>
      </c>
      <c r="R139" s="27" t="str">
        <f>"нет"</f>
        <v>нет</v>
      </c>
      <c r="S139" s="27" t="str">
        <f>""</f>
        <v/>
      </c>
      <c r="T139" s="27" t="str">
        <f>""</f>
        <v/>
      </c>
      <c r="U139" s="27" t="str">
        <f>""</f>
        <v/>
      </c>
      <c r="V139" s="27" t="str">
        <f t="shared" si="99"/>
        <v>нет</v>
      </c>
      <c r="W139" s="27" t="str">
        <f>""</f>
        <v/>
      </c>
      <c r="X139" s="27" t="str">
        <f>""</f>
        <v/>
      </c>
      <c r="Y139" s="29" t="str">
        <f>""</f>
        <v/>
      </c>
      <c r="Z139" s="27" t="str">
        <f t="shared" si="101"/>
        <v>х</v>
      </c>
      <c r="AA139" s="27" t="str">
        <f>"29,00"</f>
        <v>29,00</v>
      </c>
      <c r="AB139" s="27" t="str">
        <f>"2035-2037"</f>
        <v>2035-2037</v>
      </c>
      <c r="AC139" s="27" t="str">
        <f t="shared" si="126"/>
        <v>нет</v>
      </c>
      <c r="AD139" s="27" t="str">
        <f t="shared" si="124"/>
        <v>х</v>
      </c>
      <c r="AE139" s="27" t="str">
        <f t="shared" si="124"/>
        <v>х</v>
      </c>
      <c r="AF139" s="27" t="str">
        <f t="shared" si="124"/>
        <v>х</v>
      </c>
      <c r="AG139" s="27" t="str">
        <f t="shared" si="127"/>
        <v>нет</v>
      </c>
      <c r="AH139" s="27" t="str">
        <f t="shared" si="125"/>
        <v>х</v>
      </c>
      <c r="AI139" s="27" t="str">
        <f t="shared" si="125"/>
        <v>х</v>
      </c>
      <c r="AJ139" s="27" t="str">
        <f t="shared" si="125"/>
        <v>х</v>
      </c>
      <c r="AK139" s="28" t="str">
        <f>"2008"</f>
        <v>2008</v>
      </c>
      <c r="AL139" s="27" t="str">
        <f>"17,00"</f>
        <v>17,00</v>
      </c>
      <c r="AM139" s="27" t="str">
        <f>"2040-2042"</f>
        <v>2040-2042</v>
      </c>
      <c r="AN139" s="30" t="str">
        <f t="shared" si="120"/>
        <v>нет</v>
      </c>
      <c r="AO139" s="27" t="str">
        <f>""</f>
        <v/>
      </c>
      <c r="AP139" s="27" t="str">
        <f>""</f>
        <v/>
      </c>
      <c r="AQ139" s="27" t="str">
        <f>""</f>
        <v/>
      </c>
      <c r="AR139" s="27" t="str">
        <f t="shared" si="121"/>
        <v>нет</v>
      </c>
      <c r="AS139" s="27" t="str">
        <f>""</f>
        <v/>
      </c>
      <c r="AT139" s="27" t="str">
        <f>""</f>
        <v/>
      </c>
      <c r="AU139" s="27" t="str">
        <f>""</f>
        <v/>
      </c>
      <c r="AV139" s="27" t="str">
        <f>"2008"</f>
        <v>2008</v>
      </c>
      <c r="AW139" s="27" t="str">
        <f>"10,00"</f>
        <v>10,00</v>
      </c>
      <c r="AX139" s="27" t="str">
        <f>"2045-2047"</f>
        <v>2045-2047</v>
      </c>
      <c r="AY139" s="27" t="str">
        <f t="shared" si="122"/>
        <v>нет</v>
      </c>
      <c r="AZ139" s="27" t="str">
        <f>""</f>
        <v/>
      </c>
      <c r="BA139" s="27" t="str">
        <f>""</f>
        <v/>
      </c>
      <c r="BB139" s="27" t="str">
        <f>""</f>
        <v/>
      </c>
      <c r="BC139" s="27" t="str">
        <f t="shared" si="123"/>
        <v>нет</v>
      </c>
      <c r="BD139" s="27" t="str">
        <f>""</f>
        <v/>
      </c>
      <c r="BE139" s="27" t="str">
        <f>""</f>
        <v/>
      </c>
      <c r="BF139" s="27" t="str">
        <f>""</f>
        <v/>
      </c>
      <c r="BG139" s="27" t="str">
        <f>"2008"</f>
        <v>2008</v>
      </c>
      <c r="BH139" s="27" t="str">
        <f>"33,00"</f>
        <v>33,00</v>
      </c>
      <c r="BI139" s="27" t="str">
        <f>"2028-2030"</f>
        <v>2028-2030</v>
      </c>
      <c r="BJ139" s="27" t="str">
        <f t="shared" si="102"/>
        <v>нет</v>
      </c>
      <c r="BK139" s="27" t="str">
        <f t="shared" si="92"/>
        <v>x</v>
      </c>
      <c r="BL139" s="27" t="str">
        <f>"10,00"</f>
        <v>10,00</v>
      </c>
      <c r="BM139" s="27" t="str">
        <f>"2045-2047"</f>
        <v>2045-2047</v>
      </c>
      <c r="BN139" s="27" t="str">
        <f>"2008"</f>
        <v>2008</v>
      </c>
      <c r="BO139" s="27" t="str">
        <f>"16,00"</f>
        <v>16,00</v>
      </c>
      <c r="BP139" s="27" t="str">
        <f>"2038-2040"</f>
        <v>2038-2040</v>
      </c>
      <c r="BQ139" s="27" t="str">
        <f>""</f>
        <v/>
      </c>
      <c r="BR139" s="27" t="str">
        <f>"10,00"</f>
        <v>10,00</v>
      </c>
      <c r="BS139" s="27" t="str">
        <f>"2045-2047"</f>
        <v>2045-2047</v>
      </c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1"/>
      <c r="CE139" s="11"/>
      <c r="CF139" s="11"/>
      <c r="CG139" s="11"/>
      <c r="CH139" s="11"/>
      <c r="CI139" s="11"/>
      <c r="CJ139" s="11"/>
      <c r="CK139" s="11"/>
      <c r="CL139" s="11"/>
      <c r="CM139" s="11"/>
      <c r="CN139" s="11"/>
      <c r="CO139" s="11"/>
      <c r="CP139" s="11"/>
      <c r="CQ139" s="11"/>
      <c r="CR139" s="11"/>
      <c r="CS139" s="11"/>
      <c r="CT139" s="11"/>
      <c r="CU139" s="11"/>
      <c r="CV139" s="11"/>
      <c r="CW139" s="11"/>
      <c r="CX139" s="11"/>
      <c r="CY139" s="11"/>
      <c r="CZ139" s="11"/>
      <c r="DA139" s="11"/>
      <c r="DB139" s="11"/>
      <c r="DC139" s="11"/>
      <c r="DD139" s="11"/>
      <c r="DE139" s="11"/>
      <c r="DF139" s="11"/>
      <c r="DG139" s="11"/>
      <c r="DH139" s="11"/>
      <c r="DI139" s="11"/>
      <c r="DJ139" s="11"/>
      <c r="DK139" s="11"/>
      <c r="DL139" s="11"/>
      <c r="DM139" s="11"/>
      <c r="DN139" s="11"/>
      <c r="DO139" s="11"/>
    </row>
    <row r="140" spans="1:119" s="9" customFormat="1" ht="11.25" customHeight="1">
      <c r="A140" s="24" t="str">
        <f>"1.127"</f>
        <v>1.127</v>
      </c>
      <c r="B140" s="25" t="str">
        <f>"г. Кириллов, ул. Урицкого, д.7"</f>
        <v>г. Кириллов, ул. Урицкого, д.7</v>
      </c>
      <c r="C140" s="26" t="str">
        <f>"1991"</f>
        <v>1991</v>
      </c>
      <c r="D140" s="27" t="str">
        <f>"1991"</f>
        <v>1991</v>
      </c>
      <c r="E140" s="27" t="str">
        <f>"73,00"</f>
        <v>73,00</v>
      </c>
      <c r="F140" s="27" t="str">
        <f>"2032-2034"</f>
        <v>2032-2034</v>
      </c>
      <c r="G140" s="27" t="str">
        <f t="shared" si="117"/>
        <v>да</v>
      </c>
      <c r="H140" s="27" t="str">
        <f>"2009"</f>
        <v>2009</v>
      </c>
      <c r="I140" s="27" t="str">
        <f>"25,00"</f>
        <v>25,00</v>
      </c>
      <c r="J140" s="27" t="str">
        <f>"2025-2027"</f>
        <v>2025-2027</v>
      </c>
      <c r="K140" s="27" t="str">
        <f t="shared" ref="K140:K160" si="128">"нет"</f>
        <v>нет</v>
      </c>
      <c r="L140" s="27" t="str">
        <f>""</f>
        <v/>
      </c>
      <c r="M140" s="27" t="str">
        <f>""</f>
        <v/>
      </c>
      <c r="N140" s="27" t="str">
        <f>""</f>
        <v/>
      </c>
      <c r="O140" s="28" t="str">
        <f>""</f>
        <v/>
      </c>
      <c r="P140" s="27" t="str">
        <f>"55,00"</f>
        <v>55,00</v>
      </c>
      <c r="Q140" s="27" t="str">
        <f>"2031-2033"</f>
        <v>2031-2033</v>
      </c>
      <c r="R140" s="27" t="str">
        <f>"да"</f>
        <v>да</v>
      </c>
      <c r="S140" s="27" t="str">
        <f>"2008"</f>
        <v>2008</v>
      </c>
      <c r="T140" s="27" t="str">
        <f>"30,00"</f>
        <v>30,00</v>
      </c>
      <c r="U140" s="27" t="str">
        <f>"2024-2026"</f>
        <v>2024-2026</v>
      </c>
      <c r="V140" s="27" t="str">
        <f t="shared" ref="V140:V160" si="129">"нет"</f>
        <v>нет</v>
      </c>
      <c r="W140" s="27" t="str">
        <f>""</f>
        <v/>
      </c>
      <c r="X140" s="27" t="str">
        <f>""</f>
        <v/>
      </c>
      <c r="Y140" s="29" t="str">
        <f>""</f>
        <v/>
      </c>
      <c r="Z140" s="27" t="str">
        <f t="shared" si="101"/>
        <v>х</v>
      </c>
      <c r="AA140" s="27" t="str">
        <f>"35,00"</f>
        <v>35,00</v>
      </c>
      <c r="AB140" s="27" t="str">
        <f>"2033-2035"</f>
        <v>2033-2035</v>
      </c>
      <c r="AC140" s="27" t="str">
        <f t="shared" si="126"/>
        <v>нет</v>
      </c>
      <c r="AD140" s="27" t="str">
        <f t="shared" si="124"/>
        <v>х</v>
      </c>
      <c r="AE140" s="27" t="str">
        <f t="shared" si="124"/>
        <v>х</v>
      </c>
      <c r="AF140" s="27" t="str">
        <f t="shared" si="124"/>
        <v>х</v>
      </c>
      <c r="AG140" s="27" t="str">
        <f t="shared" si="127"/>
        <v>нет</v>
      </c>
      <c r="AH140" s="27" t="str">
        <f t="shared" si="125"/>
        <v>х</v>
      </c>
      <c r="AI140" s="27" t="str">
        <f t="shared" si="125"/>
        <v>х</v>
      </c>
      <c r="AJ140" s="27" t="str">
        <f t="shared" si="125"/>
        <v>х</v>
      </c>
      <c r="AK140" s="28" t="str">
        <f>""</f>
        <v/>
      </c>
      <c r="AL140" s="27" t="str">
        <f>"73,00"</f>
        <v>73,00</v>
      </c>
      <c r="AM140" s="27" t="str">
        <f>"2021-2023"</f>
        <v>2021-2023</v>
      </c>
      <c r="AN140" s="30" t="str">
        <f t="shared" si="120"/>
        <v>нет</v>
      </c>
      <c r="AO140" s="27" t="str">
        <f>""</f>
        <v/>
      </c>
      <c r="AP140" s="27" t="str">
        <f>""</f>
        <v/>
      </c>
      <c r="AQ140" s="27" t="str">
        <f>""</f>
        <v/>
      </c>
      <c r="AR140" s="27" t="str">
        <f t="shared" si="121"/>
        <v>нет</v>
      </c>
      <c r="AS140" s="27" t="str">
        <f>""</f>
        <v/>
      </c>
      <c r="AT140" s="27" t="str">
        <f>""</f>
        <v/>
      </c>
      <c r="AU140" s="27" t="str">
        <f>""</f>
        <v/>
      </c>
      <c r="AV140" s="27" t="str">
        <f>""</f>
        <v/>
      </c>
      <c r="AW140" s="27" t="str">
        <f>"35,00"</f>
        <v>35,00</v>
      </c>
      <c r="AX140" s="27" t="str">
        <f>"2031-2033"</f>
        <v>2031-2033</v>
      </c>
      <c r="AY140" s="27" t="str">
        <f t="shared" si="122"/>
        <v>нет</v>
      </c>
      <c r="AZ140" s="27" t="str">
        <f>""</f>
        <v/>
      </c>
      <c r="BA140" s="27" t="str">
        <f>""</f>
        <v/>
      </c>
      <c r="BB140" s="27" t="str">
        <f>""</f>
        <v/>
      </c>
      <c r="BC140" s="27" t="str">
        <f t="shared" si="123"/>
        <v>нет</v>
      </c>
      <c r="BD140" s="27" t="str">
        <f>""</f>
        <v/>
      </c>
      <c r="BE140" s="27" t="str">
        <f>""</f>
        <v/>
      </c>
      <c r="BF140" s="27" t="str">
        <f>""</f>
        <v/>
      </c>
      <c r="BG140" s="27" t="str">
        <f>""</f>
        <v/>
      </c>
      <c r="BH140" s="27" t="str">
        <f>"50,00"</f>
        <v>50,00</v>
      </c>
      <c r="BI140" s="27" t="str">
        <f>"2025-2027"</f>
        <v>2025-2027</v>
      </c>
      <c r="BJ140" s="27" t="str">
        <f t="shared" si="102"/>
        <v>нет</v>
      </c>
      <c r="BK140" s="27" t="str">
        <f t="shared" si="92"/>
        <v>x</v>
      </c>
      <c r="BL140" s="27" t="str">
        <f>"35,00"</f>
        <v>35,00</v>
      </c>
      <c r="BM140" s="27" t="str">
        <f>"2032-2034"</f>
        <v>2032-2034</v>
      </c>
      <c r="BN140" s="27" t="str">
        <f>""</f>
        <v/>
      </c>
      <c r="BO140" s="27" t="str">
        <f>"40,00"</f>
        <v>40,00</v>
      </c>
      <c r="BP140" s="27" t="str">
        <f>"2036-2038"</f>
        <v>2036-2038</v>
      </c>
      <c r="BQ140" s="27" t="str">
        <f>""</f>
        <v/>
      </c>
      <c r="BR140" s="27" t="str">
        <f>"35,00"</f>
        <v>35,00</v>
      </c>
      <c r="BS140" s="27" t="str">
        <f>"2032-2034"</f>
        <v>2032-2034</v>
      </c>
      <c r="BT140" s="11"/>
      <c r="BU140" s="11"/>
      <c r="BV140" s="11"/>
      <c r="BW140" s="11"/>
      <c r="BX140" s="11"/>
      <c r="BY140" s="11"/>
      <c r="BZ140" s="11"/>
      <c r="CA140" s="11"/>
      <c r="CB140" s="11"/>
      <c r="CC140" s="11"/>
      <c r="CD140" s="11"/>
      <c r="CE140" s="11"/>
      <c r="CF140" s="11"/>
      <c r="CG140" s="11"/>
      <c r="CH140" s="11"/>
      <c r="CI140" s="11"/>
      <c r="CJ140" s="11"/>
      <c r="CK140" s="11"/>
      <c r="CL140" s="11"/>
      <c r="CM140" s="11"/>
      <c r="CN140" s="11"/>
      <c r="CO140" s="11"/>
      <c r="CP140" s="11"/>
      <c r="CQ140" s="11"/>
      <c r="CR140" s="11"/>
      <c r="CS140" s="11"/>
      <c r="CT140" s="11"/>
      <c r="CU140" s="11"/>
      <c r="CV140" s="11"/>
      <c r="CW140" s="11"/>
      <c r="CX140" s="11"/>
      <c r="CY140" s="11"/>
      <c r="CZ140" s="11"/>
      <c r="DA140" s="11"/>
      <c r="DB140" s="11"/>
      <c r="DC140" s="11"/>
      <c r="DD140" s="11"/>
      <c r="DE140" s="11"/>
      <c r="DF140" s="11"/>
      <c r="DG140" s="11"/>
      <c r="DH140" s="11"/>
      <c r="DI140" s="11"/>
      <c r="DJ140" s="11"/>
      <c r="DK140" s="11"/>
      <c r="DL140" s="11"/>
      <c r="DM140" s="11"/>
      <c r="DN140" s="11"/>
      <c r="DO140" s="11"/>
    </row>
    <row r="141" spans="1:119" s="10" customFormat="1" ht="11.25" customHeight="1">
      <c r="A141" s="24" t="str">
        <f>"1.128"</f>
        <v>1.128</v>
      </c>
      <c r="B141" s="25" t="str">
        <f>"д. Заречье (Николо-торжский с/с), д.9"</f>
        <v>д. Заречье (Николо-торжский с/с), д.9</v>
      </c>
      <c r="C141" s="26" t="str">
        <f>"1967"</f>
        <v>1967</v>
      </c>
      <c r="D141" s="27" t="str">
        <f>"2010"</f>
        <v>2010</v>
      </c>
      <c r="E141" s="27" t="str">
        <f>"15,00"</f>
        <v>15,00</v>
      </c>
      <c r="F141" s="27" t="str">
        <f>"2030-2032"</f>
        <v>2030-2032</v>
      </c>
      <c r="G141" s="27" t="str">
        <f>"нет"</f>
        <v>нет</v>
      </c>
      <c r="H141" s="27" t="str">
        <f>""</f>
        <v/>
      </c>
      <c r="I141" s="27" t="str">
        <f>""</f>
        <v/>
      </c>
      <c r="J141" s="27" t="str">
        <f>""</f>
        <v/>
      </c>
      <c r="K141" s="27" t="str">
        <f t="shared" si="128"/>
        <v>нет</v>
      </c>
      <c r="L141" s="27" t="str">
        <f>""</f>
        <v/>
      </c>
      <c r="M141" s="27" t="str">
        <f>""</f>
        <v/>
      </c>
      <c r="N141" s="27" t="str">
        <f>""</f>
        <v/>
      </c>
      <c r="O141" s="28" t="str">
        <f>""</f>
        <v/>
      </c>
      <c r="P141" s="27" t="str">
        <f>""</f>
        <v/>
      </c>
      <c r="Q141" s="27" t="str">
        <f>""</f>
        <v/>
      </c>
      <c r="R141" s="27" t="str">
        <f t="shared" ref="R141:R148" si="130">"нет"</f>
        <v>нет</v>
      </c>
      <c r="S141" s="27" t="str">
        <f>""</f>
        <v/>
      </c>
      <c r="T141" s="27" t="str">
        <f>""</f>
        <v/>
      </c>
      <c r="U141" s="27" t="str">
        <f>""</f>
        <v/>
      </c>
      <c r="V141" s="27" t="str">
        <f t="shared" si="129"/>
        <v>нет</v>
      </c>
      <c r="W141" s="27" t="str">
        <f>""</f>
        <v/>
      </c>
      <c r="X141" s="27" t="str">
        <f>""</f>
        <v/>
      </c>
      <c r="Y141" s="29" t="str">
        <f>""</f>
        <v/>
      </c>
      <c r="Z141" s="27" t="str">
        <f t="shared" si="101"/>
        <v>х</v>
      </c>
      <c r="AA141" s="27" t="str">
        <f t="shared" ref="AA141:AB161" si="131">"х"</f>
        <v>х</v>
      </c>
      <c r="AB141" s="27" t="str">
        <f t="shared" si="131"/>
        <v>х</v>
      </c>
      <c r="AC141" s="27" t="str">
        <f t="shared" si="126"/>
        <v>нет</v>
      </c>
      <c r="AD141" s="27" t="str">
        <f t="shared" si="124"/>
        <v>х</v>
      </c>
      <c r="AE141" s="27" t="str">
        <f t="shared" si="124"/>
        <v>х</v>
      </c>
      <c r="AF141" s="27" t="str">
        <f t="shared" si="124"/>
        <v>х</v>
      </c>
      <c r="AG141" s="27" t="str">
        <f t="shared" si="127"/>
        <v>нет</v>
      </c>
      <c r="AH141" s="27" t="str">
        <f t="shared" si="125"/>
        <v>х</v>
      </c>
      <c r="AI141" s="27" t="str">
        <f t="shared" si="125"/>
        <v>х</v>
      </c>
      <c r="AJ141" s="27" t="str">
        <f t="shared" si="125"/>
        <v>х</v>
      </c>
      <c r="AK141" s="28" t="str">
        <f t="shared" ref="AK141:AM148" si="132">"х"</f>
        <v>х</v>
      </c>
      <c r="AL141" s="27" t="str">
        <f t="shared" si="132"/>
        <v>х</v>
      </c>
      <c r="AM141" s="27" t="str">
        <f t="shared" si="132"/>
        <v>х</v>
      </c>
      <c r="AN141" s="30" t="str">
        <f t="shared" si="120"/>
        <v>нет</v>
      </c>
      <c r="AO141" s="27" t="str">
        <f t="shared" ref="AO141:AQ148" si="133">"х"</f>
        <v>х</v>
      </c>
      <c r="AP141" s="27" t="str">
        <f t="shared" si="133"/>
        <v>х</v>
      </c>
      <c r="AQ141" s="27" t="str">
        <f t="shared" si="133"/>
        <v>х</v>
      </c>
      <c r="AR141" s="27" t="str">
        <f t="shared" si="121"/>
        <v>нет</v>
      </c>
      <c r="AS141" s="27" t="str">
        <f t="shared" ref="AS141:AU148" si="134">"х"</f>
        <v>х</v>
      </c>
      <c r="AT141" s="27" t="str">
        <f t="shared" si="134"/>
        <v>х</v>
      </c>
      <c r="AU141" s="27" t="str">
        <f t="shared" si="134"/>
        <v>х</v>
      </c>
      <c r="AV141" s="27" t="str">
        <f>"х"</f>
        <v>х</v>
      </c>
      <c r="AW141" s="27" t="str">
        <f>"х"</f>
        <v>х</v>
      </c>
      <c r="AX141" s="27" t="str">
        <f>"х"</f>
        <v>х</v>
      </c>
      <c r="AY141" s="27" t="str">
        <f t="shared" si="122"/>
        <v>нет</v>
      </c>
      <c r="AZ141" s="27" t="str">
        <f>"х"</f>
        <v>х</v>
      </c>
      <c r="BA141" s="27" t="str">
        <f>"х"</f>
        <v>х</v>
      </c>
      <c r="BB141" s="27" t="str">
        <f>"х"</f>
        <v>х</v>
      </c>
      <c r="BC141" s="27" t="str">
        <f t="shared" si="123"/>
        <v>нет</v>
      </c>
      <c r="BD141" s="27" t="str">
        <f>"х"</f>
        <v>х</v>
      </c>
      <c r="BE141" s="27" t="str">
        <f>"х"</f>
        <v>х</v>
      </c>
      <c r="BF141" s="27" t="str">
        <f>"х"</f>
        <v>х</v>
      </c>
      <c r="BG141" s="27" t="str">
        <f>"2010"</f>
        <v>2010</v>
      </c>
      <c r="BH141" s="27" t="str">
        <f>"20,00"</f>
        <v>20,00</v>
      </c>
      <c r="BI141" s="27" t="str">
        <f>"2036-2038"</f>
        <v>2036-2038</v>
      </c>
      <c r="BJ141" s="27" t="str">
        <f t="shared" si="102"/>
        <v>нет</v>
      </c>
      <c r="BK141" s="27" t="str">
        <f>"2010"</f>
        <v>2010</v>
      </c>
      <c r="BL141" s="27" t="str">
        <f>"6,00"</f>
        <v>6,00</v>
      </c>
      <c r="BM141" s="27" t="str">
        <f>"2045-2047"</f>
        <v>2045-2047</v>
      </c>
      <c r="BN141" s="27" t="str">
        <f>"2010"</f>
        <v>2010</v>
      </c>
      <c r="BO141" s="27" t="str">
        <f>"10,00"</f>
        <v>10,00</v>
      </c>
      <c r="BP141" s="27" t="str">
        <f>"2040-2042"</f>
        <v>2040-2042</v>
      </c>
      <c r="BQ141" s="27" t="str">
        <f>"2010"</f>
        <v>2010</v>
      </c>
      <c r="BR141" s="27" t="str">
        <f>"6,00"</f>
        <v>6,00</v>
      </c>
      <c r="BS141" s="27" t="str">
        <f>"2045-2047"</f>
        <v>2045-2047</v>
      </c>
      <c r="BT141" s="11"/>
      <c r="BU141" s="11"/>
      <c r="BV141" s="11"/>
      <c r="BW141" s="11"/>
      <c r="BX141" s="11"/>
      <c r="BY141" s="11"/>
      <c r="BZ141" s="11"/>
      <c r="CA141" s="11"/>
      <c r="CB141" s="11"/>
      <c r="CC141" s="11"/>
      <c r="CD141" s="11"/>
      <c r="CE141" s="11"/>
      <c r="CF141" s="11"/>
      <c r="CG141" s="11"/>
      <c r="CH141" s="11"/>
      <c r="CI141" s="11"/>
      <c r="CJ141" s="11"/>
      <c r="CK141" s="11"/>
      <c r="CL141" s="11"/>
      <c r="CM141" s="11"/>
      <c r="CN141" s="11"/>
      <c r="CO141" s="11"/>
      <c r="CP141" s="11"/>
      <c r="CQ141" s="11"/>
      <c r="CR141" s="11"/>
      <c r="CS141" s="11"/>
      <c r="CT141" s="11"/>
      <c r="CU141" s="11"/>
      <c r="CV141" s="11"/>
      <c r="CW141" s="11"/>
      <c r="CX141" s="11"/>
      <c r="CY141" s="11"/>
      <c r="CZ141" s="11"/>
      <c r="DA141" s="11"/>
      <c r="DB141" s="11"/>
      <c r="DC141" s="11"/>
      <c r="DD141" s="11"/>
      <c r="DE141" s="11"/>
      <c r="DF141" s="11"/>
      <c r="DG141" s="11"/>
      <c r="DH141" s="11"/>
      <c r="DI141" s="11"/>
      <c r="DJ141" s="11"/>
      <c r="DK141" s="11"/>
      <c r="DL141" s="11"/>
      <c r="DM141" s="11"/>
      <c r="DN141" s="11"/>
      <c r="DO141" s="11"/>
    </row>
    <row r="142" spans="1:119" s="10" customFormat="1" ht="11.25" customHeight="1">
      <c r="A142" s="24" t="str">
        <f>"1.129"</f>
        <v>1.129</v>
      </c>
      <c r="B142" s="25" t="str">
        <f>"д. Шиндалово, д.1"</f>
        <v>д. Шиндалово, д.1</v>
      </c>
      <c r="C142" s="26" t="str">
        <f>"1969"</f>
        <v>1969</v>
      </c>
      <c r="D142" s="27" t="str">
        <f>""</f>
        <v/>
      </c>
      <c r="E142" s="27" t="str">
        <f>"80,00"</f>
        <v>80,00</v>
      </c>
      <c r="F142" s="27" t="str">
        <f>"2021-2023"</f>
        <v>2021-2023</v>
      </c>
      <c r="G142" s="27" t="str">
        <f t="shared" ref="G142:G150" si="135">"да"</f>
        <v>да</v>
      </c>
      <c r="H142" s="27" t="str">
        <f t="shared" ref="H142:H150" si="136">"2012"</f>
        <v>2012</v>
      </c>
      <c r="I142" s="27" t="str">
        <f t="shared" ref="I142:I150" si="137">"6,00"</f>
        <v>6,00</v>
      </c>
      <c r="J142" s="27" t="str">
        <f>"2028-2030"</f>
        <v>2028-2030</v>
      </c>
      <c r="K142" s="27" t="str">
        <f t="shared" si="128"/>
        <v>нет</v>
      </c>
      <c r="L142" s="27" t="str">
        <f>""</f>
        <v/>
      </c>
      <c r="M142" s="27" t="str">
        <f>""</f>
        <v/>
      </c>
      <c r="N142" s="27" t="str">
        <f>""</f>
        <v/>
      </c>
      <c r="O142" s="28" t="str">
        <f>""</f>
        <v/>
      </c>
      <c r="P142" s="27" t="str">
        <f>"80,00"</f>
        <v>80,00</v>
      </c>
      <c r="Q142" s="27" t="str">
        <f>"2023-2025"</f>
        <v>2023-2025</v>
      </c>
      <c r="R142" s="27" t="str">
        <f t="shared" si="130"/>
        <v>нет</v>
      </c>
      <c r="S142" s="27" t="str">
        <f>""</f>
        <v/>
      </c>
      <c r="T142" s="27" t="str">
        <f>""</f>
        <v/>
      </c>
      <c r="U142" s="27" t="str">
        <f>""</f>
        <v/>
      </c>
      <c r="V142" s="27" t="str">
        <f t="shared" si="129"/>
        <v>нет</v>
      </c>
      <c r="W142" s="27" t="str">
        <f>""</f>
        <v/>
      </c>
      <c r="X142" s="27" t="str">
        <f>""</f>
        <v/>
      </c>
      <c r="Y142" s="29" t="str">
        <f>""</f>
        <v/>
      </c>
      <c r="Z142" s="27" t="str">
        <f t="shared" ref="Z142:Z161" si="138">"х"</f>
        <v>х</v>
      </c>
      <c r="AA142" s="27" t="str">
        <f t="shared" si="131"/>
        <v>х</v>
      </c>
      <c r="AB142" s="27" t="str">
        <f t="shared" si="131"/>
        <v>х</v>
      </c>
      <c r="AC142" s="27" t="str">
        <f t="shared" si="126"/>
        <v>нет</v>
      </c>
      <c r="AD142" s="27" t="str">
        <f t="shared" si="124"/>
        <v>х</v>
      </c>
      <c r="AE142" s="27" t="str">
        <f t="shared" si="124"/>
        <v>х</v>
      </c>
      <c r="AF142" s="27" t="str">
        <f t="shared" si="124"/>
        <v>х</v>
      </c>
      <c r="AG142" s="27" t="str">
        <f t="shared" si="127"/>
        <v>нет</v>
      </c>
      <c r="AH142" s="27" t="str">
        <f t="shared" si="125"/>
        <v>х</v>
      </c>
      <c r="AI142" s="27" t="str">
        <f t="shared" si="125"/>
        <v>х</v>
      </c>
      <c r="AJ142" s="27" t="str">
        <f t="shared" si="125"/>
        <v>х</v>
      </c>
      <c r="AK142" s="28" t="str">
        <f t="shared" si="132"/>
        <v>х</v>
      </c>
      <c r="AL142" s="27" t="str">
        <f t="shared" si="132"/>
        <v>х</v>
      </c>
      <c r="AM142" s="27" t="str">
        <f t="shared" si="132"/>
        <v>х</v>
      </c>
      <c r="AN142" s="30" t="str">
        <f t="shared" si="120"/>
        <v>нет</v>
      </c>
      <c r="AO142" s="27" t="str">
        <f t="shared" si="133"/>
        <v>х</v>
      </c>
      <c r="AP142" s="27" t="str">
        <f t="shared" si="133"/>
        <v>х</v>
      </c>
      <c r="AQ142" s="27" t="str">
        <f t="shared" si="133"/>
        <v>х</v>
      </c>
      <c r="AR142" s="27" t="str">
        <f t="shared" si="121"/>
        <v>нет</v>
      </c>
      <c r="AS142" s="27" t="str">
        <f t="shared" si="134"/>
        <v>х</v>
      </c>
      <c r="AT142" s="27" t="str">
        <f t="shared" si="134"/>
        <v>х</v>
      </c>
      <c r="AU142" s="27" t="str">
        <f t="shared" si="134"/>
        <v>х</v>
      </c>
      <c r="AV142" s="27" t="str">
        <f>""</f>
        <v/>
      </c>
      <c r="AW142" s="27" t="str">
        <f>""</f>
        <v/>
      </c>
      <c r="AX142" s="27" t="str">
        <f>""</f>
        <v/>
      </c>
      <c r="AY142" s="27" t="str">
        <f t="shared" si="122"/>
        <v>нет</v>
      </c>
      <c r="AZ142" s="27" t="str">
        <f>""</f>
        <v/>
      </c>
      <c r="BA142" s="27" t="str">
        <f>""</f>
        <v/>
      </c>
      <c r="BB142" s="27" t="str">
        <f>""</f>
        <v/>
      </c>
      <c r="BC142" s="27" t="str">
        <f t="shared" si="123"/>
        <v>нет</v>
      </c>
      <c r="BD142" s="27" t="str">
        <f>""</f>
        <v/>
      </c>
      <c r="BE142" s="27" t="str">
        <f>""</f>
        <v/>
      </c>
      <c r="BF142" s="27" t="str">
        <f>""</f>
        <v/>
      </c>
      <c r="BG142" s="27" t="str">
        <f>"2007"</f>
        <v>2007</v>
      </c>
      <c r="BH142" s="27" t="str">
        <f>"40,00"</f>
        <v>40,00</v>
      </c>
      <c r="BI142" s="27" t="str">
        <f>"2029-2031"</f>
        <v>2029-2031</v>
      </c>
      <c r="BJ142" s="27" t="str">
        <f t="shared" ref="BJ142:BJ161" si="139">"нет"</f>
        <v>нет</v>
      </c>
      <c r="BK142" s="27" t="str">
        <f t="shared" ref="BK142:BK152" si="140">"x"</f>
        <v>x</v>
      </c>
      <c r="BL142" s="27" t="str">
        <f t="shared" ref="BL142:BL149" si="141">"60,00"</f>
        <v>60,00</v>
      </c>
      <c r="BM142" s="27" t="str">
        <f>"2018-2020"</f>
        <v>2018-2020</v>
      </c>
      <c r="BN142" s="27" t="str">
        <f>""</f>
        <v/>
      </c>
      <c r="BO142" s="27" t="str">
        <f t="shared" ref="BO142:BO149" si="142">"60,00"</f>
        <v>60,00</v>
      </c>
      <c r="BP142" s="27" t="str">
        <f>"2036-2038"</f>
        <v>2036-2038</v>
      </c>
      <c r="BQ142" s="27" t="str">
        <f>""</f>
        <v/>
      </c>
      <c r="BR142" s="27" t="str">
        <f t="shared" ref="BR142:BR149" si="143">"60,00"</f>
        <v>60,00</v>
      </c>
      <c r="BS142" s="27" t="str">
        <f>"2018-2020"</f>
        <v>2018-2020</v>
      </c>
      <c r="BT142" s="11"/>
      <c r="BU142" s="11"/>
      <c r="BV142" s="11"/>
      <c r="BW142" s="11"/>
      <c r="BX142" s="11"/>
      <c r="BY142" s="11"/>
      <c r="BZ142" s="11"/>
      <c r="CA142" s="11"/>
      <c r="CB142" s="11"/>
      <c r="CC142" s="11"/>
      <c r="CD142" s="11"/>
      <c r="CE142" s="11"/>
      <c r="CF142" s="11"/>
      <c r="CG142" s="11"/>
      <c r="CH142" s="11"/>
      <c r="CI142" s="11"/>
      <c r="CJ142" s="11"/>
      <c r="CK142" s="11"/>
      <c r="CL142" s="11"/>
      <c r="CM142" s="11"/>
      <c r="CN142" s="11"/>
      <c r="CO142" s="11"/>
      <c r="CP142" s="11"/>
      <c r="CQ142" s="11"/>
      <c r="CR142" s="11"/>
      <c r="CS142" s="11"/>
      <c r="CT142" s="11"/>
      <c r="CU142" s="11"/>
      <c r="CV142" s="11"/>
      <c r="CW142" s="11"/>
      <c r="CX142" s="11"/>
      <c r="CY142" s="11"/>
      <c r="CZ142" s="11"/>
      <c r="DA142" s="11"/>
      <c r="DB142" s="11"/>
      <c r="DC142" s="11"/>
      <c r="DD142" s="11"/>
      <c r="DE142" s="11"/>
      <c r="DF142" s="11"/>
      <c r="DG142" s="11"/>
      <c r="DH142" s="11"/>
      <c r="DI142" s="11"/>
      <c r="DJ142" s="11"/>
      <c r="DK142" s="11"/>
      <c r="DL142" s="11"/>
      <c r="DM142" s="11"/>
      <c r="DN142" s="11"/>
      <c r="DO142" s="11"/>
    </row>
    <row r="143" spans="1:119" s="10" customFormat="1" ht="11.25" customHeight="1">
      <c r="A143" s="24" t="str">
        <f>"1.130"</f>
        <v>1.130</v>
      </c>
      <c r="B143" s="25" t="str">
        <f>"д. Шиндалово, д.2"</f>
        <v>д. Шиндалово, д.2</v>
      </c>
      <c r="C143" s="26" t="str">
        <f>"1966"</f>
        <v>1966</v>
      </c>
      <c r="D143" s="27" t="str">
        <f>"2009"</f>
        <v>2009</v>
      </c>
      <c r="E143" s="27" t="str">
        <f>"20,00"</f>
        <v>20,00</v>
      </c>
      <c r="F143" s="27" t="str">
        <f>"2032-2034"</f>
        <v>2032-2034</v>
      </c>
      <c r="G143" s="27" t="str">
        <f t="shared" si="135"/>
        <v>да</v>
      </c>
      <c r="H143" s="27" t="str">
        <f t="shared" si="136"/>
        <v>2012</v>
      </c>
      <c r="I143" s="27" t="str">
        <f t="shared" si="137"/>
        <v>6,00</v>
      </c>
      <c r="J143" s="27" t="str">
        <f t="shared" ref="J143:J150" si="144">"2018-2020"</f>
        <v>2018-2020</v>
      </c>
      <c r="K143" s="27" t="str">
        <f t="shared" si="128"/>
        <v>нет</v>
      </c>
      <c r="L143" s="27" t="str">
        <f>""</f>
        <v/>
      </c>
      <c r="M143" s="27" t="str">
        <f>""</f>
        <v/>
      </c>
      <c r="N143" s="27" t="str">
        <f>""</f>
        <v/>
      </c>
      <c r="O143" s="28" t="str">
        <f>""</f>
        <v/>
      </c>
      <c r="P143" s="27" t="str">
        <f>"80,00"</f>
        <v>80,00</v>
      </c>
      <c r="Q143" s="27" t="str">
        <f>"2023-2025"</f>
        <v>2023-2025</v>
      </c>
      <c r="R143" s="27" t="str">
        <f t="shared" si="130"/>
        <v>нет</v>
      </c>
      <c r="S143" s="27" t="str">
        <f>""</f>
        <v/>
      </c>
      <c r="T143" s="27" t="str">
        <f>""</f>
        <v/>
      </c>
      <c r="U143" s="27" t="str">
        <f>""</f>
        <v/>
      </c>
      <c r="V143" s="27" t="str">
        <f t="shared" si="129"/>
        <v>нет</v>
      </c>
      <c r="W143" s="27" t="str">
        <f>""</f>
        <v/>
      </c>
      <c r="X143" s="27" t="str">
        <f>""</f>
        <v/>
      </c>
      <c r="Y143" s="29" t="str">
        <f>""</f>
        <v/>
      </c>
      <c r="Z143" s="27" t="str">
        <f t="shared" si="138"/>
        <v>х</v>
      </c>
      <c r="AA143" s="27" t="str">
        <f t="shared" si="131"/>
        <v>х</v>
      </c>
      <c r="AB143" s="27" t="str">
        <f t="shared" si="131"/>
        <v>х</v>
      </c>
      <c r="AC143" s="27" t="str">
        <f t="shared" si="126"/>
        <v>нет</v>
      </c>
      <c r="AD143" s="27" t="str">
        <f t="shared" si="124"/>
        <v>х</v>
      </c>
      <c r="AE143" s="27" t="str">
        <f t="shared" si="124"/>
        <v>х</v>
      </c>
      <c r="AF143" s="27" t="str">
        <f t="shared" si="124"/>
        <v>х</v>
      </c>
      <c r="AG143" s="27" t="str">
        <f t="shared" si="127"/>
        <v>нет</v>
      </c>
      <c r="AH143" s="27" t="str">
        <f t="shared" si="125"/>
        <v>х</v>
      </c>
      <c r="AI143" s="27" t="str">
        <f t="shared" si="125"/>
        <v>х</v>
      </c>
      <c r="AJ143" s="27" t="str">
        <f t="shared" si="125"/>
        <v>х</v>
      </c>
      <c r="AK143" s="28" t="str">
        <f t="shared" si="132"/>
        <v>х</v>
      </c>
      <c r="AL143" s="27" t="str">
        <f t="shared" si="132"/>
        <v>х</v>
      </c>
      <c r="AM143" s="27" t="str">
        <f t="shared" si="132"/>
        <v>х</v>
      </c>
      <c r="AN143" s="30" t="str">
        <f t="shared" si="120"/>
        <v>нет</v>
      </c>
      <c r="AO143" s="27" t="str">
        <f t="shared" si="133"/>
        <v>х</v>
      </c>
      <c r="AP143" s="27" t="str">
        <f t="shared" si="133"/>
        <v>х</v>
      </c>
      <c r="AQ143" s="27" t="str">
        <f t="shared" si="133"/>
        <v>х</v>
      </c>
      <c r="AR143" s="27" t="str">
        <f t="shared" si="121"/>
        <v>нет</v>
      </c>
      <c r="AS143" s="27" t="str">
        <f t="shared" si="134"/>
        <v>х</v>
      </c>
      <c r="AT143" s="27" t="str">
        <f t="shared" si="134"/>
        <v>х</v>
      </c>
      <c r="AU143" s="27" t="str">
        <f t="shared" si="134"/>
        <v>х</v>
      </c>
      <c r="AV143" s="27" t="str">
        <f>"х"</f>
        <v>х</v>
      </c>
      <c r="AW143" s="27" t="str">
        <f>"х"</f>
        <v>х</v>
      </c>
      <c r="AX143" s="27" t="str">
        <f>"х"</f>
        <v>х</v>
      </c>
      <c r="AY143" s="27" t="str">
        <f t="shared" si="122"/>
        <v>нет</v>
      </c>
      <c r="AZ143" s="27" t="str">
        <f>"х"</f>
        <v>х</v>
      </c>
      <c r="BA143" s="27" t="str">
        <f>"х"</f>
        <v>х</v>
      </c>
      <c r="BB143" s="27" t="str">
        <f>"х"</f>
        <v>х</v>
      </c>
      <c r="BC143" s="27" t="str">
        <f t="shared" si="123"/>
        <v>нет</v>
      </c>
      <c r="BD143" s="27" t="str">
        <f>"х"</f>
        <v>х</v>
      </c>
      <c r="BE143" s="27" t="str">
        <f>"х"</f>
        <v>х</v>
      </c>
      <c r="BF143" s="27" t="str">
        <f>"х"</f>
        <v>х</v>
      </c>
      <c r="BG143" s="27" t="str">
        <f>""</f>
        <v/>
      </c>
      <c r="BH143" s="27" t="str">
        <f>"60,00"</f>
        <v>60,00</v>
      </c>
      <c r="BI143" s="27" t="str">
        <f>"2022-2024"</f>
        <v>2022-2024</v>
      </c>
      <c r="BJ143" s="27" t="str">
        <f t="shared" si="139"/>
        <v>нет</v>
      </c>
      <c r="BK143" s="27" t="str">
        <f t="shared" si="140"/>
        <v>x</v>
      </c>
      <c r="BL143" s="27" t="str">
        <f t="shared" si="141"/>
        <v>60,00</v>
      </c>
      <c r="BM143" s="27" t="str">
        <f>"2016-2018"</f>
        <v>2016-2018</v>
      </c>
      <c r="BN143" s="27" t="str">
        <f>""</f>
        <v/>
      </c>
      <c r="BO143" s="27" t="str">
        <f t="shared" si="142"/>
        <v>60,00</v>
      </c>
      <c r="BP143" s="27" t="str">
        <f>"2026-2028"</f>
        <v>2026-2028</v>
      </c>
      <c r="BQ143" s="27" t="str">
        <f>""</f>
        <v/>
      </c>
      <c r="BR143" s="27" t="str">
        <f t="shared" si="143"/>
        <v>60,00</v>
      </c>
      <c r="BS143" s="27" t="str">
        <f>"2016-2018"</f>
        <v>2016-2018</v>
      </c>
      <c r="BT143" s="11"/>
      <c r="BU143" s="11"/>
      <c r="BV143" s="11"/>
      <c r="BW143" s="11"/>
      <c r="BX143" s="11"/>
      <c r="BY143" s="11"/>
      <c r="BZ143" s="11"/>
      <c r="CA143" s="11"/>
      <c r="CB143" s="11"/>
      <c r="CC143" s="11"/>
      <c r="CD143" s="11"/>
      <c r="CE143" s="11"/>
      <c r="CF143" s="11"/>
      <c r="CG143" s="11"/>
      <c r="CH143" s="11"/>
      <c r="CI143" s="11"/>
      <c r="CJ143" s="11"/>
      <c r="CK143" s="11"/>
      <c r="CL143" s="11"/>
      <c r="CM143" s="11"/>
      <c r="CN143" s="11"/>
      <c r="CO143" s="11"/>
      <c r="CP143" s="11"/>
      <c r="CQ143" s="11"/>
      <c r="CR143" s="11"/>
      <c r="CS143" s="11"/>
      <c r="CT143" s="11"/>
      <c r="CU143" s="11"/>
      <c r="CV143" s="11"/>
      <c r="CW143" s="11"/>
      <c r="CX143" s="11"/>
      <c r="CY143" s="11"/>
      <c r="CZ143" s="11"/>
      <c r="DA143" s="11"/>
      <c r="DB143" s="11"/>
      <c r="DC143" s="11"/>
      <c r="DD143" s="11"/>
      <c r="DE143" s="11"/>
      <c r="DF143" s="11"/>
      <c r="DG143" s="11"/>
      <c r="DH143" s="11"/>
      <c r="DI143" s="11"/>
      <c r="DJ143" s="11"/>
      <c r="DK143" s="11"/>
      <c r="DL143" s="11"/>
      <c r="DM143" s="11"/>
      <c r="DN143" s="11"/>
      <c r="DO143" s="11"/>
    </row>
    <row r="144" spans="1:119" s="10" customFormat="1" ht="11.25" customHeight="1">
      <c r="A144" s="24" t="str">
        <f>"1.131"</f>
        <v>1.131</v>
      </c>
      <c r="B144" s="25" t="str">
        <f>"д. Шиндалово, д.3"</f>
        <v>д. Шиндалово, д.3</v>
      </c>
      <c r="C144" s="26" t="str">
        <f>"1967"</f>
        <v>1967</v>
      </c>
      <c r="D144" s="27" t="str">
        <f>""</f>
        <v/>
      </c>
      <c r="E144" s="27" t="str">
        <f>"64,00"</f>
        <v>64,00</v>
      </c>
      <c r="F144" s="27" t="str">
        <f>"2021-2023"</f>
        <v>2021-2023</v>
      </c>
      <c r="G144" s="27" t="str">
        <f t="shared" si="135"/>
        <v>да</v>
      </c>
      <c r="H144" s="27" t="str">
        <f t="shared" si="136"/>
        <v>2012</v>
      </c>
      <c r="I144" s="27" t="str">
        <f t="shared" si="137"/>
        <v>6,00</v>
      </c>
      <c r="J144" s="27" t="str">
        <f t="shared" si="144"/>
        <v>2018-2020</v>
      </c>
      <c r="K144" s="27" t="str">
        <f t="shared" si="128"/>
        <v>нет</v>
      </c>
      <c r="L144" s="27" t="str">
        <f>""</f>
        <v/>
      </c>
      <c r="M144" s="27" t="str">
        <f>""</f>
        <v/>
      </c>
      <c r="N144" s="27" t="str">
        <f>""</f>
        <v/>
      </c>
      <c r="O144" s="28" t="str">
        <f>""</f>
        <v/>
      </c>
      <c r="P144" s="27" t="str">
        <f>"80,00"</f>
        <v>80,00</v>
      </c>
      <c r="Q144" s="27" t="str">
        <f>"2023-2025"</f>
        <v>2023-2025</v>
      </c>
      <c r="R144" s="27" t="str">
        <f t="shared" si="130"/>
        <v>нет</v>
      </c>
      <c r="S144" s="27" t="str">
        <f>""</f>
        <v/>
      </c>
      <c r="T144" s="27" t="str">
        <f>""</f>
        <v/>
      </c>
      <c r="U144" s="27" t="str">
        <f>""</f>
        <v/>
      </c>
      <c r="V144" s="27" t="str">
        <f t="shared" si="129"/>
        <v>нет</v>
      </c>
      <c r="W144" s="27" t="str">
        <f>""</f>
        <v/>
      </c>
      <c r="X144" s="27" t="str">
        <f>""</f>
        <v/>
      </c>
      <c r="Y144" s="29" t="str">
        <f>""</f>
        <v/>
      </c>
      <c r="Z144" s="27" t="str">
        <f t="shared" si="138"/>
        <v>х</v>
      </c>
      <c r="AA144" s="27" t="str">
        <f t="shared" si="131"/>
        <v>х</v>
      </c>
      <c r="AB144" s="27" t="str">
        <f t="shared" si="131"/>
        <v>х</v>
      </c>
      <c r="AC144" s="27" t="str">
        <f t="shared" si="126"/>
        <v>нет</v>
      </c>
      <c r="AD144" s="27" t="str">
        <f t="shared" si="124"/>
        <v>х</v>
      </c>
      <c r="AE144" s="27" t="str">
        <f t="shared" si="124"/>
        <v>х</v>
      </c>
      <c r="AF144" s="27" t="str">
        <f t="shared" si="124"/>
        <v>х</v>
      </c>
      <c r="AG144" s="27" t="str">
        <f t="shared" si="127"/>
        <v>нет</v>
      </c>
      <c r="AH144" s="27" t="str">
        <f t="shared" si="125"/>
        <v>х</v>
      </c>
      <c r="AI144" s="27" t="str">
        <f t="shared" si="125"/>
        <v>х</v>
      </c>
      <c r="AJ144" s="27" t="str">
        <f t="shared" si="125"/>
        <v>х</v>
      </c>
      <c r="AK144" s="28" t="str">
        <f t="shared" si="132"/>
        <v>х</v>
      </c>
      <c r="AL144" s="27" t="str">
        <f t="shared" si="132"/>
        <v>х</v>
      </c>
      <c r="AM144" s="27" t="str">
        <f t="shared" si="132"/>
        <v>х</v>
      </c>
      <c r="AN144" s="30" t="str">
        <f t="shared" si="120"/>
        <v>нет</v>
      </c>
      <c r="AO144" s="27" t="str">
        <f t="shared" si="133"/>
        <v>х</v>
      </c>
      <c r="AP144" s="27" t="str">
        <f t="shared" si="133"/>
        <v>х</v>
      </c>
      <c r="AQ144" s="27" t="str">
        <f t="shared" si="133"/>
        <v>х</v>
      </c>
      <c r="AR144" s="27" t="str">
        <f t="shared" si="121"/>
        <v>нет</v>
      </c>
      <c r="AS144" s="27" t="str">
        <f t="shared" si="134"/>
        <v>х</v>
      </c>
      <c r="AT144" s="27" t="str">
        <f t="shared" si="134"/>
        <v>х</v>
      </c>
      <c r="AU144" s="27" t="str">
        <f t="shared" si="134"/>
        <v>х</v>
      </c>
      <c r="AV144" s="27" t="str">
        <f>""</f>
        <v/>
      </c>
      <c r="AW144" s="27" t="str">
        <f>""</f>
        <v/>
      </c>
      <c r="AX144" s="27" t="str">
        <f>""</f>
        <v/>
      </c>
      <c r="AY144" s="27" t="str">
        <f t="shared" si="122"/>
        <v>нет</v>
      </c>
      <c r="AZ144" s="27" t="str">
        <f>""</f>
        <v/>
      </c>
      <c r="BA144" s="27" t="str">
        <f>""</f>
        <v/>
      </c>
      <c r="BB144" s="27" t="str">
        <f>""</f>
        <v/>
      </c>
      <c r="BC144" s="27" t="str">
        <f t="shared" si="123"/>
        <v>нет</v>
      </c>
      <c r="BD144" s="27" t="str">
        <f>""</f>
        <v/>
      </c>
      <c r="BE144" s="27" t="str">
        <f>""</f>
        <v/>
      </c>
      <c r="BF144" s="27" t="str">
        <f>""</f>
        <v/>
      </c>
      <c r="BG144" s="27" t="str">
        <f>""</f>
        <v/>
      </c>
      <c r="BH144" s="27" t="str">
        <f>"60,00"</f>
        <v>60,00</v>
      </c>
      <c r="BI144" s="27" t="str">
        <f>"2028-2030"</f>
        <v>2028-2030</v>
      </c>
      <c r="BJ144" s="27" t="str">
        <f t="shared" si="139"/>
        <v>нет</v>
      </c>
      <c r="BK144" s="27" t="str">
        <f t="shared" si="140"/>
        <v>x</v>
      </c>
      <c r="BL144" s="27" t="str">
        <f t="shared" si="141"/>
        <v>60,00</v>
      </c>
      <c r="BM144" s="27" t="str">
        <f>"2026-2028"</f>
        <v>2026-2028</v>
      </c>
      <c r="BN144" s="27" t="str">
        <f>""</f>
        <v/>
      </c>
      <c r="BO144" s="27" t="str">
        <f t="shared" si="142"/>
        <v>60,00</v>
      </c>
      <c r="BP144" s="27" t="str">
        <f>"2032-2034"</f>
        <v>2032-2034</v>
      </c>
      <c r="BQ144" s="27" t="str">
        <f>""</f>
        <v/>
      </c>
      <c r="BR144" s="27" t="str">
        <f t="shared" si="143"/>
        <v>60,00</v>
      </c>
      <c r="BS144" s="27" t="str">
        <f>"2026-2028"</f>
        <v>2026-2028</v>
      </c>
      <c r="BT144" s="11"/>
      <c r="BU144" s="11"/>
      <c r="BV144" s="11"/>
      <c r="BW144" s="11"/>
      <c r="BX144" s="11"/>
      <c r="BY144" s="11"/>
      <c r="BZ144" s="11"/>
      <c r="CA144" s="11"/>
      <c r="CB144" s="11"/>
      <c r="CC144" s="11"/>
      <c r="CD144" s="11"/>
      <c r="CE144" s="11"/>
      <c r="CF144" s="11"/>
      <c r="CG144" s="11"/>
      <c r="CH144" s="11"/>
      <c r="CI144" s="11"/>
      <c r="CJ144" s="11"/>
      <c r="CK144" s="11"/>
      <c r="CL144" s="11"/>
      <c r="CM144" s="11"/>
      <c r="CN144" s="11"/>
      <c r="CO144" s="11"/>
      <c r="CP144" s="11"/>
      <c r="CQ144" s="11"/>
      <c r="CR144" s="11"/>
      <c r="CS144" s="11"/>
      <c r="CT144" s="11"/>
      <c r="CU144" s="11"/>
      <c r="CV144" s="11"/>
      <c r="CW144" s="11"/>
      <c r="CX144" s="11"/>
      <c r="CY144" s="11"/>
      <c r="CZ144" s="11"/>
      <c r="DA144" s="11"/>
      <c r="DB144" s="11"/>
      <c r="DC144" s="11"/>
      <c r="DD144" s="11"/>
      <c r="DE144" s="11"/>
      <c r="DF144" s="11"/>
      <c r="DG144" s="11"/>
      <c r="DH144" s="11"/>
      <c r="DI144" s="11"/>
      <c r="DJ144" s="11"/>
      <c r="DK144" s="11"/>
      <c r="DL144" s="11"/>
      <c r="DM144" s="11"/>
      <c r="DN144" s="11"/>
      <c r="DO144" s="11"/>
    </row>
    <row r="145" spans="1:119" s="10" customFormat="1" ht="11.25" customHeight="1">
      <c r="A145" s="24" t="str">
        <f>"1.132"</f>
        <v>1.132</v>
      </c>
      <c r="B145" s="25" t="str">
        <f>"д. Шиндалово, д.4"</f>
        <v>д. Шиндалово, д.4</v>
      </c>
      <c r="C145" s="26" t="str">
        <f>"1966"</f>
        <v>1966</v>
      </c>
      <c r="D145" s="27" t="str">
        <f>""</f>
        <v/>
      </c>
      <c r="E145" s="27" t="str">
        <f>"80,00"</f>
        <v>80,00</v>
      </c>
      <c r="F145" s="27" t="str">
        <f>"2024-2026"</f>
        <v>2024-2026</v>
      </c>
      <c r="G145" s="27" t="str">
        <f t="shared" si="135"/>
        <v>да</v>
      </c>
      <c r="H145" s="27" t="str">
        <f t="shared" si="136"/>
        <v>2012</v>
      </c>
      <c r="I145" s="27" t="str">
        <f t="shared" si="137"/>
        <v>6,00</v>
      </c>
      <c r="J145" s="27" t="str">
        <f t="shared" si="144"/>
        <v>2018-2020</v>
      </c>
      <c r="K145" s="27" t="str">
        <f t="shared" si="128"/>
        <v>нет</v>
      </c>
      <c r="L145" s="27" t="str">
        <f>""</f>
        <v/>
      </c>
      <c r="M145" s="27" t="str">
        <f>""</f>
        <v/>
      </c>
      <c r="N145" s="27" t="str">
        <f>""</f>
        <v/>
      </c>
      <c r="O145" s="28" t="str">
        <f>""</f>
        <v/>
      </c>
      <c r="P145" s="27" t="str">
        <f>"90,00"</f>
        <v>90,00</v>
      </c>
      <c r="Q145" s="27" t="str">
        <f>"2023-2025"</f>
        <v>2023-2025</v>
      </c>
      <c r="R145" s="27" t="str">
        <f t="shared" si="130"/>
        <v>нет</v>
      </c>
      <c r="S145" s="27" t="str">
        <f>""</f>
        <v/>
      </c>
      <c r="T145" s="27" t="str">
        <f>""</f>
        <v/>
      </c>
      <c r="U145" s="27" t="str">
        <f>""</f>
        <v/>
      </c>
      <c r="V145" s="27" t="str">
        <f t="shared" si="129"/>
        <v>нет</v>
      </c>
      <c r="W145" s="27" t="str">
        <f>""</f>
        <v/>
      </c>
      <c r="X145" s="27" t="str">
        <f>""</f>
        <v/>
      </c>
      <c r="Y145" s="29" t="str">
        <f>""</f>
        <v/>
      </c>
      <c r="Z145" s="27" t="str">
        <f t="shared" si="138"/>
        <v>х</v>
      </c>
      <c r="AA145" s="27" t="str">
        <f t="shared" si="131"/>
        <v>х</v>
      </c>
      <c r="AB145" s="27" t="str">
        <f t="shared" si="131"/>
        <v>х</v>
      </c>
      <c r="AC145" s="27" t="str">
        <f t="shared" si="126"/>
        <v>нет</v>
      </c>
      <c r="AD145" s="27" t="str">
        <f t="shared" si="124"/>
        <v>х</v>
      </c>
      <c r="AE145" s="27" t="str">
        <f t="shared" si="124"/>
        <v>х</v>
      </c>
      <c r="AF145" s="27" t="str">
        <f t="shared" si="124"/>
        <v>х</v>
      </c>
      <c r="AG145" s="27" t="str">
        <f t="shared" si="127"/>
        <v>нет</v>
      </c>
      <c r="AH145" s="27" t="str">
        <f t="shared" si="125"/>
        <v>х</v>
      </c>
      <c r="AI145" s="27" t="str">
        <f t="shared" si="125"/>
        <v>х</v>
      </c>
      <c r="AJ145" s="27" t="str">
        <f t="shared" si="125"/>
        <v>х</v>
      </c>
      <c r="AK145" s="28" t="str">
        <f t="shared" si="132"/>
        <v>х</v>
      </c>
      <c r="AL145" s="27" t="str">
        <f t="shared" si="132"/>
        <v>х</v>
      </c>
      <c r="AM145" s="27" t="str">
        <f t="shared" si="132"/>
        <v>х</v>
      </c>
      <c r="AN145" s="30" t="str">
        <f t="shared" si="120"/>
        <v>нет</v>
      </c>
      <c r="AO145" s="27" t="str">
        <f t="shared" si="133"/>
        <v>х</v>
      </c>
      <c r="AP145" s="27" t="str">
        <f t="shared" si="133"/>
        <v>х</v>
      </c>
      <c r="AQ145" s="27" t="str">
        <f t="shared" si="133"/>
        <v>х</v>
      </c>
      <c r="AR145" s="27" t="str">
        <f t="shared" si="121"/>
        <v>нет</v>
      </c>
      <c r="AS145" s="27" t="str">
        <f t="shared" si="134"/>
        <v>х</v>
      </c>
      <c r="AT145" s="27" t="str">
        <f t="shared" si="134"/>
        <v>х</v>
      </c>
      <c r="AU145" s="27" t="str">
        <f t="shared" si="134"/>
        <v>х</v>
      </c>
      <c r="AV145" s="27" t="str">
        <f>""</f>
        <v/>
      </c>
      <c r="AW145" s="27" t="str">
        <f>""</f>
        <v/>
      </c>
      <c r="AX145" s="27" t="str">
        <f>""</f>
        <v/>
      </c>
      <c r="AY145" s="27" t="str">
        <f t="shared" si="122"/>
        <v>нет</v>
      </c>
      <c r="AZ145" s="27" t="str">
        <f>""</f>
        <v/>
      </c>
      <c r="BA145" s="27" t="str">
        <f>""</f>
        <v/>
      </c>
      <c r="BB145" s="27" t="str">
        <f>""</f>
        <v/>
      </c>
      <c r="BC145" s="27" t="str">
        <f t="shared" si="123"/>
        <v>нет</v>
      </c>
      <c r="BD145" s="27" t="str">
        <f>""</f>
        <v/>
      </c>
      <c r="BE145" s="27" t="str">
        <f>""</f>
        <v/>
      </c>
      <c r="BF145" s="27" t="str">
        <f>""</f>
        <v/>
      </c>
      <c r="BG145" s="27" t="str">
        <f>""</f>
        <v/>
      </c>
      <c r="BH145" s="27" t="str">
        <f>"60,00"</f>
        <v>60,00</v>
      </c>
      <c r="BI145" s="27" t="str">
        <f>"2027-2029"</f>
        <v>2027-2029</v>
      </c>
      <c r="BJ145" s="27" t="str">
        <f t="shared" si="139"/>
        <v>нет</v>
      </c>
      <c r="BK145" s="27" t="str">
        <f t="shared" si="140"/>
        <v>x</v>
      </c>
      <c r="BL145" s="27" t="str">
        <f t="shared" si="141"/>
        <v>60,00</v>
      </c>
      <c r="BM145" s="27" t="str">
        <f>"2020-2022"</f>
        <v>2020-2022</v>
      </c>
      <c r="BN145" s="27" t="str">
        <f>""</f>
        <v/>
      </c>
      <c r="BO145" s="27" t="str">
        <f t="shared" si="142"/>
        <v>60,00</v>
      </c>
      <c r="BP145" s="27" t="str">
        <f>"2029-2031"</f>
        <v>2029-2031</v>
      </c>
      <c r="BQ145" s="27" t="str">
        <f>""</f>
        <v/>
      </c>
      <c r="BR145" s="27" t="str">
        <f t="shared" si="143"/>
        <v>60,00</v>
      </c>
      <c r="BS145" s="27" t="str">
        <f>"2020-2022"</f>
        <v>2020-2022</v>
      </c>
      <c r="BT145" s="11"/>
      <c r="BU145" s="11"/>
      <c r="BV145" s="11"/>
      <c r="BW145" s="11"/>
      <c r="BX145" s="11"/>
      <c r="BY145" s="11"/>
      <c r="BZ145" s="11"/>
      <c r="CA145" s="11"/>
      <c r="CB145" s="11"/>
      <c r="CC145" s="11"/>
      <c r="CD145" s="11"/>
      <c r="CE145" s="11"/>
      <c r="CF145" s="11"/>
      <c r="CG145" s="11"/>
      <c r="CH145" s="11"/>
      <c r="CI145" s="11"/>
      <c r="CJ145" s="11"/>
      <c r="CK145" s="11"/>
      <c r="CL145" s="11"/>
      <c r="CM145" s="11"/>
      <c r="CN145" s="11"/>
      <c r="CO145" s="11"/>
      <c r="CP145" s="11"/>
      <c r="CQ145" s="11"/>
      <c r="CR145" s="11"/>
      <c r="CS145" s="11"/>
      <c r="CT145" s="11"/>
      <c r="CU145" s="11"/>
      <c r="CV145" s="11"/>
      <c r="CW145" s="11"/>
      <c r="CX145" s="11"/>
      <c r="CY145" s="11"/>
      <c r="CZ145" s="11"/>
      <c r="DA145" s="11"/>
      <c r="DB145" s="11"/>
      <c r="DC145" s="11"/>
      <c r="DD145" s="11"/>
      <c r="DE145" s="11"/>
      <c r="DF145" s="11"/>
      <c r="DG145" s="11"/>
      <c r="DH145" s="11"/>
      <c r="DI145" s="11"/>
      <c r="DJ145" s="11"/>
      <c r="DK145" s="11"/>
      <c r="DL145" s="11"/>
      <c r="DM145" s="11"/>
      <c r="DN145" s="11"/>
      <c r="DO145" s="11"/>
    </row>
    <row r="146" spans="1:119" s="10" customFormat="1" ht="11.25" customHeight="1">
      <c r="A146" s="24" t="str">
        <f>"1.133"</f>
        <v>1.133</v>
      </c>
      <c r="B146" s="25" t="str">
        <f>"д. Шиндалово, д.5"</f>
        <v>д. Шиндалово, д.5</v>
      </c>
      <c r="C146" s="26" t="str">
        <f>"1966"</f>
        <v>1966</v>
      </c>
      <c r="D146" s="27" t="str">
        <f>""</f>
        <v/>
      </c>
      <c r="E146" s="27" t="str">
        <f>"64,00"</f>
        <v>64,00</v>
      </c>
      <c r="F146" s="27" t="str">
        <f>"2024-2026"</f>
        <v>2024-2026</v>
      </c>
      <c r="G146" s="27" t="str">
        <f t="shared" si="135"/>
        <v>да</v>
      </c>
      <c r="H146" s="27" t="str">
        <f t="shared" si="136"/>
        <v>2012</v>
      </c>
      <c r="I146" s="27" t="str">
        <f t="shared" si="137"/>
        <v>6,00</v>
      </c>
      <c r="J146" s="27" t="str">
        <f t="shared" si="144"/>
        <v>2018-2020</v>
      </c>
      <c r="K146" s="27" t="str">
        <f t="shared" si="128"/>
        <v>нет</v>
      </c>
      <c r="L146" s="27" t="str">
        <f>""</f>
        <v/>
      </c>
      <c r="M146" s="27" t="str">
        <f>""</f>
        <v/>
      </c>
      <c r="N146" s="27" t="str">
        <f>""</f>
        <v/>
      </c>
      <c r="O146" s="28" t="str">
        <f>""</f>
        <v/>
      </c>
      <c r="P146" s="27" t="str">
        <f>"80,00"</f>
        <v>80,00</v>
      </c>
      <c r="Q146" s="27" t="str">
        <f>"2024-2026"</f>
        <v>2024-2026</v>
      </c>
      <c r="R146" s="27" t="str">
        <f t="shared" si="130"/>
        <v>нет</v>
      </c>
      <c r="S146" s="27" t="str">
        <f>""</f>
        <v/>
      </c>
      <c r="T146" s="27" t="str">
        <f>""</f>
        <v/>
      </c>
      <c r="U146" s="27" t="str">
        <f>""</f>
        <v/>
      </c>
      <c r="V146" s="27" t="str">
        <f t="shared" si="129"/>
        <v>нет</v>
      </c>
      <c r="W146" s="27" t="str">
        <f>""</f>
        <v/>
      </c>
      <c r="X146" s="27" t="str">
        <f>""</f>
        <v/>
      </c>
      <c r="Y146" s="29" t="str">
        <f>""</f>
        <v/>
      </c>
      <c r="Z146" s="27" t="str">
        <f t="shared" si="138"/>
        <v>х</v>
      </c>
      <c r="AA146" s="27" t="str">
        <f t="shared" si="131"/>
        <v>х</v>
      </c>
      <c r="AB146" s="27" t="str">
        <f t="shared" si="131"/>
        <v>х</v>
      </c>
      <c r="AC146" s="27" t="str">
        <f t="shared" si="126"/>
        <v>нет</v>
      </c>
      <c r="AD146" s="27" t="str">
        <f t="shared" si="124"/>
        <v>х</v>
      </c>
      <c r="AE146" s="27" t="str">
        <f t="shared" si="124"/>
        <v>х</v>
      </c>
      <c r="AF146" s="27" t="str">
        <f t="shared" si="124"/>
        <v>х</v>
      </c>
      <c r="AG146" s="27" t="str">
        <f t="shared" si="127"/>
        <v>нет</v>
      </c>
      <c r="AH146" s="27" t="str">
        <f t="shared" si="125"/>
        <v>х</v>
      </c>
      <c r="AI146" s="27" t="str">
        <f t="shared" si="125"/>
        <v>х</v>
      </c>
      <c r="AJ146" s="27" t="str">
        <f t="shared" si="125"/>
        <v>х</v>
      </c>
      <c r="AK146" s="28" t="str">
        <f t="shared" si="132"/>
        <v>х</v>
      </c>
      <c r="AL146" s="27" t="str">
        <f t="shared" si="132"/>
        <v>х</v>
      </c>
      <c r="AM146" s="27" t="str">
        <f t="shared" si="132"/>
        <v>х</v>
      </c>
      <c r="AN146" s="30" t="str">
        <f t="shared" si="120"/>
        <v>нет</v>
      </c>
      <c r="AO146" s="27" t="str">
        <f t="shared" si="133"/>
        <v>х</v>
      </c>
      <c r="AP146" s="27" t="str">
        <f t="shared" si="133"/>
        <v>х</v>
      </c>
      <c r="AQ146" s="27" t="str">
        <f t="shared" si="133"/>
        <v>х</v>
      </c>
      <c r="AR146" s="27" t="str">
        <f t="shared" si="121"/>
        <v>нет</v>
      </c>
      <c r="AS146" s="27" t="str">
        <f t="shared" si="134"/>
        <v>х</v>
      </c>
      <c r="AT146" s="27" t="str">
        <f t="shared" si="134"/>
        <v>х</v>
      </c>
      <c r="AU146" s="27" t="str">
        <f t="shared" si="134"/>
        <v>х</v>
      </c>
      <c r="AV146" s="27" t="str">
        <f>""</f>
        <v/>
      </c>
      <c r="AW146" s="27" t="str">
        <f>""</f>
        <v/>
      </c>
      <c r="AX146" s="27" t="str">
        <f>""</f>
        <v/>
      </c>
      <c r="AY146" s="27" t="str">
        <f t="shared" si="122"/>
        <v>нет</v>
      </c>
      <c r="AZ146" s="27" t="str">
        <f>""</f>
        <v/>
      </c>
      <c r="BA146" s="27" t="str">
        <f>""</f>
        <v/>
      </c>
      <c r="BB146" s="27" t="str">
        <f>""</f>
        <v/>
      </c>
      <c r="BC146" s="27" t="str">
        <f t="shared" si="123"/>
        <v>нет</v>
      </c>
      <c r="BD146" s="27" t="str">
        <f>""</f>
        <v/>
      </c>
      <c r="BE146" s="27" t="str">
        <f>""</f>
        <v/>
      </c>
      <c r="BF146" s="27" t="str">
        <f>""</f>
        <v/>
      </c>
      <c r="BG146" s="27" t="str">
        <f>"2003"</f>
        <v>2003</v>
      </c>
      <c r="BH146" s="27" t="str">
        <f>"35,00"</f>
        <v>35,00</v>
      </c>
      <c r="BI146" s="27" t="str">
        <f>"2033-2035"</f>
        <v>2033-2035</v>
      </c>
      <c r="BJ146" s="27" t="str">
        <f t="shared" si="139"/>
        <v>нет</v>
      </c>
      <c r="BK146" s="27" t="str">
        <f t="shared" si="140"/>
        <v>x</v>
      </c>
      <c r="BL146" s="27" t="str">
        <f t="shared" si="141"/>
        <v>60,00</v>
      </c>
      <c r="BM146" s="27" t="str">
        <f>"2017-2019"</f>
        <v>2017-2019</v>
      </c>
      <c r="BN146" s="27" t="str">
        <f>""</f>
        <v/>
      </c>
      <c r="BO146" s="27" t="str">
        <f t="shared" si="142"/>
        <v>60,00</v>
      </c>
      <c r="BP146" s="27" t="str">
        <f>"2026-2028"</f>
        <v>2026-2028</v>
      </c>
      <c r="BQ146" s="27" t="str">
        <f>""</f>
        <v/>
      </c>
      <c r="BR146" s="27" t="str">
        <f t="shared" si="143"/>
        <v>60,00</v>
      </c>
      <c r="BS146" s="27" t="str">
        <f>"2017-2019"</f>
        <v>2017-2019</v>
      </c>
      <c r="BT146" s="11"/>
      <c r="BU146" s="11"/>
      <c r="BV146" s="11"/>
      <c r="BW146" s="11"/>
      <c r="BX146" s="11"/>
      <c r="BY146" s="11"/>
      <c r="BZ146" s="11"/>
      <c r="CA146" s="11"/>
      <c r="CB146" s="11"/>
      <c r="CC146" s="11"/>
      <c r="CD146" s="11"/>
      <c r="CE146" s="11"/>
      <c r="CF146" s="11"/>
      <c r="CG146" s="11"/>
      <c r="CH146" s="11"/>
      <c r="CI146" s="11"/>
      <c r="CJ146" s="11"/>
      <c r="CK146" s="11"/>
      <c r="CL146" s="11"/>
      <c r="CM146" s="11"/>
      <c r="CN146" s="11"/>
      <c r="CO146" s="11"/>
      <c r="CP146" s="11"/>
      <c r="CQ146" s="11"/>
      <c r="CR146" s="11"/>
      <c r="CS146" s="11"/>
      <c r="CT146" s="11"/>
      <c r="CU146" s="11"/>
      <c r="CV146" s="11"/>
      <c r="CW146" s="11"/>
      <c r="CX146" s="11"/>
      <c r="CY146" s="11"/>
      <c r="CZ146" s="11"/>
      <c r="DA146" s="11"/>
      <c r="DB146" s="11"/>
      <c r="DC146" s="11"/>
      <c r="DD146" s="11"/>
      <c r="DE146" s="11"/>
      <c r="DF146" s="11"/>
      <c r="DG146" s="11"/>
      <c r="DH146" s="11"/>
      <c r="DI146" s="11"/>
      <c r="DJ146" s="11"/>
      <c r="DK146" s="11"/>
      <c r="DL146" s="11"/>
      <c r="DM146" s="11"/>
      <c r="DN146" s="11"/>
      <c r="DO146" s="11"/>
    </row>
    <row r="147" spans="1:119" s="10" customFormat="1" ht="11.25" customHeight="1">
      <c r="A147" s="24" t="str">
        <f>"1.134"</f>
        <v>1.134</v>
      </c>
      <c r="B147" s="25" t="str">
        <f>"д. Шиндалово, д.6"</f>
        <v>д. Шиндалово, д.6</v>
      </c>
      <c r="C147" s="26" t="str">
        <f>"1970"</f>
        <v>1970</v>
      </c>
      <c r="D147" s="27" t="str">
        <f>""</f>
        <v/>
      </c>
      <c r="E147" s="27" t="str">
        <f>"80,00"</f>
        <v>80,00</v>
      </c>
      <c r="F147" s="27" t="str">
        <f>"2024-2026"</f>
        <v>2024-2026</v>
      </c>
      <c r="G147" s="27" t="str">
        <f t="shared" si="135"/>
        <v>да</v>
      </c>
      <c r="H147" s="27" t="str">
        <f t="shared" si="136"/>
        <v>2012</v>
      </c>
      <c r="I147" s="27" t="str">
        <f t="shared" si="137"/>
        <v>6,00</v>
      </c>
      <c r="J147" s="27" t="str">
        <f t="shared" si="144"/>
        <v>2018-2020</v>
      </c>
      <c r="K147" s="27" t="str">
        <f t="shared" si="128"/>
        <v>нет</v>
      </c>
      <c r="L147" s="27" t="str">
        <f>""</f>
        <v/>
      </c>
      <c r="M147" s="27" t="str">
        <f>""</f>
        <v/>
      </c>
      <c r="N147" s="27" t="str">
        <f>""</f>
        <v/>
      </c>
      <c r="O147" s="28" t="str">
        <f>""</f>
        <v/>
      </c>
      <c r="P147" s="27" t="str">
        <f>"70,00"</f>
        <v>70,00</v>
      </c>
      <c r="Q147" s="27" t="str">
        <f>"2026-2028"</f>
        <v>2026-2028</v>
      </c>
      <c r="R147" s="27" t="str">
        <f t="shared" si="130"/>
        <v>нет</v>
      </c>
      <c r="S147" s="27" t="str">
        <f>""</f>
        <v/>
      </c>
      <c r="T147" s="27" t="str">
        <f>""</f>
        <v/>
      </c>
      <c r="U147" s="27" t="str">
        <f>""</f>
        <v/>
      </c>
      <c r="V147" s="27" t="str">
        <f t="shared" si="129"/>
        <v>нет</v>
      </c>
      <c r="W147" s="27" t="str">
        <f>""</f>
        <v/>
      </c>
      <c r="X147" s="27" t="str">
        <f>""</f>
        <v/>
      </c>
      <c r="Y147" s="29" t="str">
        <f>""</f>
        <v/>
      </c>
      <c r="Z147" s="27" t="str">
        <f t="shared" si="138"/>
        <v>х</v>
      </c>
      <c r="AA147" s="27" t="str">
        <f t="shared" si="131"/>
        <v>х</v>
      </c>
      <c r="AB147" s="27" t="str">
        <f t="shared" si="131"/>
        <v>х</v>
      </c>
      <c r="AC147" s="27" t="str">
        <f t="shared" si="126"/>
        <v>нет</v>
      </c>
      <c r="AD147" s="27" t="str">
        <f t="shared" si="124"/>
        <v>х</v>
      </c>
      <c r="AE147" s="27" t="str">
        <f t="shared" si="124"/>
        <v>х</v>
      </c>
      <c r="AF147" s="27" t="str">
        <f t="shared" si="124"/>
        <v>х</v>
      </c>
      <c r="AG147" s="27" t="str">
        <f t="shared" si="127"/>
        <v>нет</v>
      </c>
      <c r="AH147" s="27" t="str">
        <f t="shared" si="125"/>
        <v>х</v>
      </c>
      <c r="AI147" s="27" t="str">
        <f t="shared" si="125"/>
        <v>х</v>
      </c>
      <c r="AJ147" s="27" t="str">
        <f t="shared" si="125"/>
        <v>х</v>
      </c>
      <c r="AK147" s="28" t="str">
        <f t="shared" si="132"/>
        <v>х</v>
      </c>
      <c r="AL147" s="27" t="str">
        <f t="shared" si="132"/>
        <v>х</v>
      </c>
      <c r="AM147" s="27" t="str">
        <f t="shared" si="132"/>
        <v>х</v>
      </c>
      <c r="AN147" s="30" t="str">
        <f t="shared" si="120"/>
        <v>нет</v>
      </c>
      <c r="AO147" s="27" t="str">
        <f t="shared" si="133"/>
        <v>х</v>
      </c>
      <c r="AP147" s="27" t="str">
        <f t="shared" si="133"/>
        <v>х</v>
      </c>
      <c r="AQ147" s="27" t="str">
        <f t="shared" si="133"/>
        <v>х</v>
      </c>
      <c r="AR147" s="27" t="str">
        <f t="shared" si="121"/>
        <v>нет</v>
      </c>
      <c r="AS147" s="27" t="str">
        <f t="shared" si="134"/>
        <v>х</v>
      </c>
      <c r="AT147" s="27" t="str">
        <f t="shared" si="134"/>
        <v>х</v>
      </c>
      <c r="AU147" s="27" t="str">
        <f t="shared" si="134"/>
        <v>х</v>
      </c>
      <c r="AV147" s="27" t="str">
        <f>""</f>
        <v/>
      </c>
      <c r="AW147" s="27" t="str">
        <f>""</f>
        <v/>
      </c>
      <c r="AX147" s="27" t="str">
        <f>""</f>
        <v/>
      </c>
      <c r="AY147" s="27" t="str">
        <f t="shared" si="122"/>
        <v>нет</v>
      </c>
      <c r="AZ147" s="27" t="str">
        <f>""</f>
        <v/>
      </c>
      <c r="BA147" s="27" t="str">
        <f>""</f>
        <v/>
      </c>
      <c r="BB147" s="27" t="str">
        <f>""</f>
        <v/>
      </c>
      <c r="BC147" s="27" t="str">
        <f t="shared" si="123"/>
        <v>нет</v>
      </c>
      <c r="BD147" s="27" t="str">
        <f>""</f>
        <v/>
      </c>
      <c r="BE147" s="27" t="str">
        <f>""</f>
        <v/>
      </c>
      <c r="BF147" s="27" t="str">
        <f>""</f>
        <v/>
      </c>
      <c r="BG147" s="27" t="str">
        <f>"2007"</f>
        <v>2007</v>
      </c>
      <c r="BH147" s="27" t="str">
        <f>"40,00"</f>
        <v>40,00</v>
      </c>
      <c r="BI147" s="27" t="str">
        <f>"2036-2038"</f>
        <v>2036-2038</v>
      </c>
      <c r="BJ147" s="27" t="str">
        <f t="shared" si="139"/>
        <v>нет</v>
      </c>
      <c r="BK147" s="27" t="str">
        <f t="shared" si="140"/>
        <v>x</v>
      </c>
      <c r="BL147" s="27" t="str">
        <f t="shared" si="141"/>
        <v>60,00</v>
      </c>
      <c r="BM147" s="27" t="str">
        <f>"2027-2029"</f>
        <v>2027-2029</v>
      </c>
      <c r="BN147" s="27" t="str">
        <f>""</f>
        <v/>
      </c>
      <c r="BO147" s="27" t="str">
        <f t="shared" si="142"/>
        <v>60,00</v>
      </c>
      <c r="BP147" s="27" t="str">
        <f>"2029-2031"</f>
        <v>2029-2031</v>
      </c>
      <c r="BQ147" s="27" t="str">
        <f>""</f>
        <v/>
      </c>
      <c r="BR147" s="27" t="str">
        <f t="shared" si="143"/>
        <v>60,00</v>
      </c>
      <c r="BS147" s="27" t="str">
        <f>"2027-2029"</f>
        <v>2027-2029</v>
      </c>
      <c r="BT147" s="11"/>
      <c r="BU147" s="11"/>
      <c r="BV147" s="11"/>
      <c r="BW147" s="11"/>
      <c r="BX147" s="11"/>
      <c r="BY147" s="11"/>
      <c r="BZ147" s="11"/>
      <c r="CA147" s="11"/>
      <c r="CB147" s="11"/>
      <c r="CC147" s="11"/>
      <c r="CD147" s="11"/>
      <c r="CE147" s="11"/>
      <c r="CF147" s="11"/>
      <c r="CG147" s="11"/>
      <c r="CH147" s="11"/>
      <c r="CI147" s="11"/>
      <c r="CJ147" s="11"/>
      <c r="CK147" s="11"/>
      <c r="CL147" s="11"/>
      <c r="CM147" s="11"/>
      <c r="CN147" s="11"/>
      <c r="CO147" s="11"/>
      <c r="CP147" s="11"/>
      <c r="CQ147" s="11"/>
      <c r="CR147" s="11"/>
      <c r="CS147" s="11"/>
      <c r="CT147" s="11"/>
      <c r="CU147" s="11"/>
      <c r="CV147" s="11"/>
      <c r="CW147" s="11"/>
      <c r="CX147" s="11"/>
      <c r="CY147" s="11"/>
      <c r="CZ147" s="11"/>
      <c r="DA147" s="11"/>
      <c r="DB147" s="11"/>
      <c r="DC147" s="11"/>
      <c r="DD147" s="11"/>
      <c r="DE147" s="11"/>
      <c r="DF147" s="11"/>
      <c r="DG147" s="11"/>
      <c r="DH147" s="11"/>
      <c r="DI147" s="11"/>
      <c r="DJ147" s="11"/>
      <c r="DK147" s="11"/>
      <c r="DL147" s="11"/>
      <c r="DM147" s="11"/>
      <c r="DN147" s="11"/>
      <c r="DO147" s="11"/>
    </row>
    <row r="148" spans="1:119" s="10" customFormat="1" ht="11.25" customHeight="1">
      <c r="A148" s="24" t="str">
        <f>"1.135"</f>
        <v>1.135</v>
      </c>
      <c r="B148" s="25" t="str">
        <f>"д. Шиндалово, д.7"</f>
        <v>д. Шиндалово, д.7</v>
      </c>
      <c r="C148" s="26" t="str">
        <f>"1972"</f>
        <v>1972</v>
      </c>
      <c r="D148" s="27" t="str">
        <f>"2008"</f>
        <v>2008</v>
      </c>
      <c r="E148" s="27" t="str">
        <f>"25,00"</f>
        <v>25,00</v>
      </c>
      <c r="F148" s="27" t="str">
        <f>"2031-2033"</f>
        <v>2031-2033</v>
      </c>
      <c r="G148" s="27" t="str">
        <f t="shared" si="135"/>
        <v>да</v>
      </c>
      <c r="H148" s="27" t="str">
        <f t="shared" si="136"/>
        <v>2012</v>
      </c>
      <c r="I148" s="27" t="str">
        <f t="shared" si="137"/>
        <v>6,00</v>
      </c>
      <c r="J148" s="27" t="str">
        <f t="shared" si="144"/>
        <v>2018-2020</v>
      </c>
      <c r="K148" s="27" t="str">
        <f t="shared" si="128"/>
        <v>нет</v>
      </c>
      <c r="L148" s="27" t="str">
        <f>""</f>
        <v/>
      </c>
      <c r="M148" s="27" t="str">
        <f>""</f>
        <v/>
      </c>
      <c r="N148" s="27" t="str">
        <f>""</f>
        <v/>
      </c>
      <c r="O148" s="28" t="str">
        <f>"2008"</f>
        <v>2008</v>
      </c>
      <c r="P148" s="27" t="str">
        <f>"20,00"</f>
        <v>20,00</v>
      </c>
      <c r="Q148" s="27" t="str">
        <f>"2033-2035"</f>
        <v>2033-2035</v>
      </c>
      <c r="R148" s="27" t="str">
        <f t="shared" si="130"/>
        <v>нет</v>
      </c>
      <c r="S148" s="27" t="str">
        <f>""</f>
        <v/>
      </c>
      <c r="T148" s="27" t="str">
        <f>""</f>
        <v/>
      </c>
      <c r="U148" s="27" t="str">
        <f>""</f>
        <v/>
      </c>
      <c r="V148" s="27" t="str">
        <f t="shared" si="129"/>
        <v>нет</v>
      </c>
      <c r="W148" s="27" t="str">
        <f>""</f>
        <v/>
      </c>
      <c r="X148" s="27" t="str">
        <f>""</f>
        <v/>
      </c>
      <c r="Y148" s="29" t="str">
        <f>""</f>
        <v/>
      </c>
      <c r="Z148" s="27" t="str">
        <f t="shared" si="138"/>
        <v>х</v>
      </c>
      <c r="AA148" s="27" t="str">
        <f t="shared" si="131"/>
        <v>х</v>
      </c>
      <c r="AB148" s="27" t="str">
        <f t="shared" si="131"/>
        <v>х</v>
      </c>
      <c r="AC148" s="27" t="str">
        <f t="shared" si="126"/>
        <v>нет</v>
      </c>
      <c r="AD148" s="27" t="str">
        <f t="shared" si="124"/>
        <v>х</v>
      </c>
      <c r="AE148" s="27" t="str">
        <f t="shared" si="124"/>
        <v>х</v>
      </c>
      <c r="AF148" s="27" t="str">
        <f t="shared" si="124"/>
        <v>х</v>
      </c>
      <c r="AG148" s="27" t="str">
        <f t="shared" si="127"/>
        <v>нет</v>
      </c>
      <c r="AH148" s="27" t="str">
        <f t="shared" si="125"/>
        <v>х</v>
      </c>
      <c r="AI148" s="27" t="str">
        <f t="shared" si="125"/>
        <v>х</v>
      </c>
      <c r="AJ148" s="27" t="str">
        <f t="shared" si="125"/>
        <v>х</v>
      </c>
      <c r="AK148" s="28" t="str">
        <f t="shared" si="132"/>
        <v>х</v>
      </c>
      <c r="AL148" s="27" t="str">
        <f t="shared" si="132"/>
        <v>х</v>
      </c>
      <c r="AM148" s="27" t="str">
        <f t="shared" si="132"/>
        <v>х</v>
      </c>
      <c r="AN148" s="30" t="str">
        <f t="shared" si="120"/>
        <v>нет</v>
      </c>
      <c r="AO148" s="27" t="str">
        <f t="shared" si="133"/>
        <v>х</v>
      </c>
      <c r="AP148" s="27" t="str">
        <f t="shared" si="133"/>
        <v>х</v>
      </c>
      <c r="AQ148" s="27" t="str">
        <f t="shared" si="133"/>
        <v>х</v>
      </c>
      <c r="AR148" s="27" t="str">
        <f t="shared" si="121"/>
        <v>нет</v>
      </c>
      <c r="AS148" s="27" t="str">
        <f t="shared" si="134"/>
        <v>х</v>
      </c>
      <c r="AT148" s="27" t="str">
        <f t="shared" si="134"/>
        <v>х</v>
      </c>
      <c r="AU148" s="27" t="str">
        <f t="shared" si="134"/>
        <v>х</v>
      </c>
      <c r="AV148" s="27" t="str">
        <f>""</f>
        <v/>
      </c>
      <c r="AW148" s="27" t="str">
        <f>""</f>
        <v/>
      </c>
      <c r="AX148" s="27" t="str">
        <f>""</f>
        <v/>
      </c>
      <c r="AY148" s="27" t="str">
        <f t="shared" si="122"/>
        <v>нет</v>
      </c>
      <c r="AZ148" s="27" t="str">
        <f>""</f>
        <v/>
      </c>
      <c r="BA148" s="27" t="str">
        <f>""</f>
        <v/>
      </c>
      <c r="BB148" s="27" t="str">
        <f>""</f>
        <v/>
      </c>
      <c r="BC148" s="27" t="str">
        <f t="shared" si="123"/>
        <v>нет</v>
      </c>
      <c r="BD148" s="27" t="str">
        <f>""</f>
        <v/>
      </c>
      <c r="BE148" s="27" t="str">
        <f>""</f>
        <v/>
      </c>
      <c r="BF148" s="27" t="str">
        <f>""</f>
        <v/>
      </c>
      <c r="BG148" s="27" t="str">
        <f>"2008"</f>
        <v>2008</v>
      </c>
      <c r="BH148" s="27" t="str">
        <f>"20,00"</f>
        <v>20,00</v>
      </c>
      <c r="BI148" s="27" t="str">
        <f>"2038-2040"</f>
        <v>2038-2040</v>
      </c>
      <c r="BJ148" s="27" t="str">
        <f t="shared" si="139"/>
        <v>нет</v>
      </c>
      <c r="BK148" s="27" t="str">
        <f t="shared" si="140"/>
        <v>x</v>
      </c>
      <c r="BL148" s="27" t="str">
        <f t="shared" si="141"/>
        <v>60,00</v>
      </c>
      <c r="BM148" s="27" t="str">
        <f>"2026-2028"</f>
        <v>2026-2028</v>
      </c>
      <c r="BN148" s="27" t="str">
        <f>""</f>
        <v/>
      </c>
      <c r="BO148" s="27" t="str">
        <f t="shared" si="142"/>
        <v>60,00</v>
      </c>
      <c r="BP148" s="27" t="str">
        <f>"2037-2039"</f>
        <v>2037-2039</v>
      </c>
      <c r="BQ148" s="27" t="str">
        <f>""</f>
        <v/>
      </c>
      <c r="BR148" s="27" t="str">
        <f t="shared" si="143"/>
        <v>60,00</v>
      </c>
      <c r="BS148" s="27" t="str">
        <f>"2026-2028"</f>
        <v>2026-2028</v>
      </c>
      <c r="BT148" s="11"/>
      <c r="BU148" s="11"/>
      <c r="BV148" s="11"/>
      <c r="BW148" s="11"/>
      <c r="BX148" s="11"/>
      <c r="BY148" s="11"/>
      <c r="BZ148" s="11"/>
      <c r="CA148" s="11"/>
      <c r="CB148" s="11"/>
      <c r="CC148" s="11"/>
      <c r="CD148" s="11"/>
      <c r="CE148" s="11"/>
      <c r="CF148" s="11"/>
      <c r="CG148" s="11"/>
      <c r="CH148" s="11"/>
      <c r="CI148" s="11"/>
      <c r="CJ148" s="11"/>
      <c r="CK148" s="11"/>
      <c r="CL148" s="11"/>
      <c r="CM148" s="11"/>
      <c r="CN148" s="11"/>
      <c r="CO148" s="11"/>
      <c r="CP148" s="11"/>
      <c r="CQ148" s="11"/>
      <c r="CR148" s="11"/>
      <c r="CS148" s="11"/>
      <c r="CT148" s="11"/>
      <c r="CU148" s="11"/>
      <c r="CV148" s="11"/>
      <c r="CW148" s="11"/>
      <c r="CX148" s="11"/>
      <c r="CY148" s="11"/>
      <c r="CZ148" s="11"/>
      <c r="DA148" s="11"/>
      <c r="DB148" s="11"/>
      <c r="DC148" s="11"/>
      <c r="DD148" s="11"/>
      <c r="DE148" s="11"/>
      <c r="DF148" s="11"/>
      <c r="DG148" s="11"/>
      <c r="DH148" s="11"/>
      <c r="DI148" s="11"/>
      <c r="DJ148" s="11"/>
      <c r="DK148" s="11"/>
      <c r="DL148" s="11"/>
      <c r="DM148" s="11"/>
      <c r="DN148" s="11"/>
      <c r="DO148" s="11"/>
    </row>
    <row r="149" spans="1:119" s="10" customFormat="1" ht="11.25" customHeight="1">
      <c r="A149" s="24" t="str">
        <f>"1.136"</f>
        <v>1.136</v>
      </c>
      <c r="B149" s="25" t="str">
        <f>"д. Шиндалово, д.8"</f>
        <v>д. Шиндалово, д.8</v>
      </c>
      <c r="C149" s="26" t="str">
        <f>"1977"</f>
        <v>1977</v>
      </c>
      <c r="D149" s="27" t="str">
        <f>""</f>
        <v/>
      </c>
      <c r="E149" s="27" t="str">
        <f>"80,00"</f>
        <v>80,00</v>
      </c>
      <c r="F149" s="27" t="str">
        <f>"2019-2021"</f>
        <v>2019-2021</v>
      </c>
      <c r="G149" s="27" t="str">
        <f t="shared" si="135"/>
        <v>да</v>
      </c>
      <c r="H149" s="27" t="str">
        <f t="shared" si="136"/>
        <v>2012</v>
      </c>
      <c r="I149" s="27" t="str">
        <f t="shared" si="137"/>
        <v>6,00</v>
      </c>
      <c r="J149" s="27" t="str">
        <f t="shared" si="144"/>
        <v>2018-2020</v>
      </c>
      <c r="K149" s="27" t="str">
        <f t="shared" si="128"/>
        <v>нет</v>
      </c>
      <c r="L149" s="27" t="str">
        <f>""</f>
        <v/>
      </c>
      <c r="M149" s="27" t="str">
        <f>""</f>
        <v/>
      </c>
      <c r="N149" s="27" t="str">
        <f>""</f>
        <v/>
      </c>
      <c r="O149" s="28" t="str">
        <f>""</f>
        <v/>
      </c>
      <c r="P149" s="27" t="str">
        <f>"75,00"</f>
        <v>75,00</v>
      </c>
      <c r="Q149" s="27" t="str">
        <f>"2023-2025"</f>
        <v>2023-2025</v>
      </c>
      <c r="R149" s="27" t="str">
        <f>"да"</f>
        <v>да</v>
      </c>
      <c r="S149" s="27" t="str">
        <f>"2013"</f>
        <v>2013</v>
      </c>
      <c r="T149" s="27" t="str">
        <f>"1,00"</f>
        <v>1,00</v>
      </c>
      <c r="U149" s="27">
        <v>2014</v>
      </c>
      <c r="V149" s="27" t="str">
        <f t="shared" si="129"/>
        <v>нет</v>
      </c>
      <c r="W149" s="27" t="str">
        <f>""</f>
        <v/>
      </c>
      <c r="X149" s="27" t="str">
        <f>""</f>
        <v/>
      </c>
      <c r="Y149" s="29" t="str">
        <f>""</f>
        <v/>
      </c>
      <c r="Z149" s="27" t="str">
        <f t="shared" si="138"/>
        <v>х</v>
      </c>
      <c r="AA149" s="27" t="str">
        <f t="shared" si="131"/>
        <v>х</v>
      </c>
      <c r="AB149" s="27" t="str">
        <f t="shared" si="131"/>
        <v>х</v>
      </c>
      <c r="AC149" s="27" t="str">
        <f t="shared" si="126"/>
        <v>нет</v>
      </c>
      <c r="AD149" s="27" t="str">
        <f t="shared" si="124"/>
        <v>х</v>
      </c>
      <c r="AE149" s="27" t="str">
        <f t="shared" si="124"/>
        <v>х</v>
      </c>
      <c r="AF149" s="27" t="str">
        <f t="shared" si="124"/>
        <v>х</v>
      </c>
      <c r="AG149" s="27" t="str">
        <f t="shared" si="127"/>
        <v>нет</v>
      </c>
      <c r="AH149" s="27" t="str">
        <f t="shared" si="125"/>
        <v>х</v>
      </c>
      <c r="AI149" s="27" t="str">
        <f t="shared" si="125"/>
        <v>х</v>
      </c>
      <c r="AJ149" s="27" t="str">
        <f t="shared" si="125"/>
        <v>х</v>
      </c>
      <c r="AK149" s="28" t="str">
        <f>""</f>
        <v/>
      </c>
      <c r="AL149" s="27" t="str">
        <f>"80,00"</f>
        <v>80,00</v>
      </c>
      <c r="AM149" s="27" t="str">
        <f>"2016-2018"</f>
        <v>2016-2018</v>
      </c>
      <c r="AN149" s="30">
        <v>2014</v>
      </c>
      <c r="AO149" s="27" t="str">
        <f>""</f>
        <v/>
      </c>
      <c r="AP149" s="27" t="str">
        <f>""</f>
        <v/>
      </c>
      <c r="AQ149" s="27">
        <v>2030</v>
      </c>
      <c r="AR149" s="27" t="str">
        <f t="shared" si="121"/>
        <v>нет</v>
      </c>
      <c r="AS149" s="27" t="str">
        <f>""</f>
        <v/>
      </c>
      <c r="AT149" s="27" t="str">
        <f>""</f>
        <v/>
      </c>
      <c r="AU149" s="27" t="str">
        <f>""</f>
        <v/>
      </c>
      <c r="AV149" s="27" t="str">
        <f>""</f>
        <v/>
      </c>
      <c r="AW149" s="27" t="str">
        <f>"80,00"</f>
        <v>80,00</v>
      </c>
      <c r="AX149" s="27" t="str">
        <f>"2022-2024"</f>
        <v>2022-2024</v>
      </c>
      <c r="AY149" s="27" t="str">
        <f t="shared" si="122"/>
        <v>нет</v>
      </c>
      <c r="AZ149" s="27" t="str">
        <f>""</f>
        <v/>
      </c>
      <c r="BA149" s="27" t="str">
        <f>""</f>
        <v/>
      </c>
      <c r="BB149" s="27" t="str">
        <f>""</f>
        <v/>
      </c>
      <c r="BC149" s="27" t="str">
        <f t="shared" si="123"/>
        <v>нет</v>
      </c>
      <c r="BD149" s="27" t="str">
        <f>""</f>
        <v/>
      </c>
      <c r="BE149" s="27" t="str">
        <f>""</f>
        <v/>
      </c>
      <c r="BF149" s="27" t="str">
        <f>""</f>
        <v/>
      </c>
      <c r="BG149" s="27" t="str">
        <f>"1994"</f>
        <v>1994</v>
      </c>
      <c r="BH149" s="27" t="str">
        <f>"60,00"</f>
        <v>60,00</v>
      </c>
      <c r="BI149" s="27" t="str">
        <f>"2028-2030"</f>
        <v>2028-2030</v>
      </c>
      <c r="BJ149" s="27" t="str">
        <f t="shared" si="139"/>
        <v>нет</v>
      </c>
      <c r="BK149" s="27" t="str">
        <f t="shared" si="140"/>
        <v>x</v>
      </c>
      <c r="BL149" s="27" t="str">
        <f t="shared" si="141"/>
        <v>60,00</v>
      </c>
      <c r="BM149" s="27" t="str">
        <f>"2036-2038"</f>
        <v>2036-2038</v>
      </c>
      <c r="BN149" s="27" t="str">
        <f>""</f>
        <v/>
      </c>
      <c r="BO149" s="27" t="str">
        <f t="shared" si="142"/>
        <v>60,00</v>
      </c>
      <c r="BP149" s="27" t="str">
        <f>"2036-2038"</f>
        <v>2036-2038</v>
      </c>
      <c r="BQ149" s="27" t="str">
        <f>""</f>
        <v/>
      </c>
      <c r="BR149" s="27" t="str">
        <f t="shared" si="143"/>
        <v>60,00</v>
      </c>
      <c r="BS149" s="27" t="str">
        <f>"2036-2038"</f>
        <v>2036-2038</v>
      </c>
      <c r="BT149" s="11"/>
      <c r="BU149" s="11"/>
      <c r="BV149" s="11"/>
      <c r="BW149" s="11"/>
      <c r="BX149" s="11"/>
      <c r="BY149" s="11"/>
      <c r="BZ149" s="11"/>
      <c r="CA149" s="11"/>
      <c r="CB149" s="11"/>
      <c r="CC149" s="11"/>
      <c r="CD149" s="11"/>
      <c r="CE149" s="11"/>
      <c r="CF149" s="11"/>
      <c r="CG149" s="11"/>
      <c r="CH149" s="11"/>
      <c r="CI149" s="11"/>
      <c r="CJ149" s="11"/>
      <c r="CK149" s="11"/>
      <c r="CL149" s="11"/>
      <c r="CM149" s="11"/>
      <c r="CN149" s="11"/>
      <c r="CO149" s="11"/>
      <c r="CP149" s="11"/>
      <c r="CQ149" s="11"/>
      <c r="CR149" s="11"/>
      <c r="CS149" s="11"/>
      <c r="CT149" s="11"/>
      <c r="CU149" s="11"/>
      <c r="CV149" s="11"/>
      <c r="CW149" s="11"/>
      <c r="CX149" s="11"/>
      <c r="CY149" s="11"/>
      <c r="CZ149" s="11"/>
      <c r="DA149" s="11"/>
      <c r="DB149" s="11"/>
      <c r="DC149" s="11"/>
      <c r="DD149" s="11"/>
      <c r="DE149" s="11"/>
      <c r="DF149" s="11"/>
      <c r="DG149" s="11"/>
      <c r="DH149" s="11"/>
      <c r="DI149" s="11"/>
      <c r="DJ149" s="11"/>
      <c r="DK149" s="11"/>
      <c r="DL149" s="11"/>
      <c r="DM149" s="11"/>
      <c r="DN149" s="11"/>
      <c r="DO149" s="11"/>
    </row>
    <row r="150" spans="1:119" s="10" customFormat="1" ht="11.25" customHeight="1">
      <c r="A150" s="24" t="str">
        <f>"1.137"</f>
        <v>1.137</v>
      </c>
      <c r="B150" s="25" t="str">
        <f>"д. Шиндалово, д.9"</f>
        <v>д. Шиндалово, д.9</v>
      </c>
      <c r="C150" s="26" t="str">
        <f>"1994"</f>
        <v>1994</v>
      </c>
      <c r="D150" s="27" t="str">
        <f>""</f>
        <v/>
      </c>
      <c r="E150" s="27" t="str">
        <f>"90,00"</f>
        <v>90,00</v>
      </c>
      <c r="F150" s="27" t="str">
        <f>"2032-2034"</f>
        <v>2032-2034</v>
      </c>
      <c r="G150" s="27" t="str">
        <f t="shared" si="135"/>
        <v>да</v>
      </c>
      <c r="H150" s="27" t="str">
        <f t="shared" si="136"/>
        <v>2012</v>
      </c>
      <c r="I150" s="27" t="str">
        <f t="shared" si="137"/>
        <v>6,00</v>
      </c>
      <c r="J150" s="27" t="str">
        <f t="shared" si="144"/>
        <v>2018-2020</v>
      </c>
      <c r="K150" s="27" t="str">
        <f t="shared" si="128"/>
        <v>нет</v>
      </c>
      <c r="L150" s="27" t="str">
        <f>""</f>
        <v/>
      </c>
      <c r="M150" s="27" t="str">
        <f>""</f>
        <v/>
      </c>
      <c r="N150" s="27" t="str">
        <f>""</f>
        <v/>
      </c>
      <c r="O150" s="28" t="str">
        <f>""</f>
        <v/>
      </c>
      <c r="P150" s="27" t="str">
        <f>"76,00"</f>
        <v>76,00</v>
      </c>
      <c r="Q150" s="27" t="str">
        <f>"2030-2032"</f>
        <v>2030-2032</v>
      </c>
      <c r="R150" s="27" t="str">
        <f>"нет"</f>
        <v>нет</v>
      </c>
      <c r="S150" s="27">
        <v>2015</v>
      </c>
      <c r="T150" s="27" t="str">
        <f>""</f>
        <v/>
      </c>
      <c r="U150" s="27">
        <v>2030</v>
      </c>
      <c r="V150" s="27" t="str">
        <f t="shared" si="129"/>
        <v>нет</v>
      </c>
      <c r="W150" s="27" t="str">
        <f>""</f>
        <v/>
      </c>
      <c r="X150" s="27" t="str">
        <f>""</f>
        <v/>
      </c>
      <c r="Y150" s="29" t="str">
        <f>""</f>
        <v/>
      </c>
      <c r="Z150" s="27" t="str">
        <f t="shared" si="138"/>
        <v>х</v>
      </c>
      <c r="AA150" s="27" t="str">
        <f t="shared" si="131"/>
        <v>х</v>
      </c>
      <c r="AB150" s="27" t="str">
        <f t="shared" si="131"/>
        <v>х</v>
      </c>
      <c r="AC150" s="27" t="str">
        <f t="shared" si="126"/>
        <v>нет</v>
      </c>
      <c r="AD150" s="27" t="str">
        <f t="shared" si="124"/>
        <v>х</v>
      </c>
      <c r="AE150" s="27" t="str">
        <f t="shared" si="124"/>
        <v>х</v>
      </c>
      <c r="AF150" s="27" t="str">
        <f t="shared" si="124"/>
        <v>х</v>
      </c>
      <c r="AG150" s="27" t="str">
        <f t="shared" si="127"/>
        <v>нет</v>
      </c>
      <c r="AH150" s="27" t="str">
        <f t="shared" si="125"/>
        <v>х</v>
      </c>
      <c r="AI150" s="27" t="str">
        <f t="shared" si="125"/>
        <v>х</v>
      </c>
      <c r="AJ150" s="27" t="str">
        <f t="shared" si="125"/>
        <v>х</v>
      </c>
      <c r="AK150" s="28" t="str">
        <f>"х"</f>
        <v>х</v>
      </c>
      <c r="AL150" s="27" t="str">
        <f>"80,00"</f>
        <v>80,00</v>
      </c>
      <c r="AM150" s="27" t="str">
        <f>"2020-2022"</f>
        <v>2020-2022</v>
      </c>
      <c r="AN150" s="30">
        <v>2014</v>
      </c>
      <c r="AO150" s="27"/>
      <c r="AP150" s="27"/>
      <c r="AQ150" s="27">
        <v>2030</v>
      </c>
      <c r="AR150" s="27" t="str">
        <f t="shared" si="121"/>
        <v>нет</v>
      </c>
      <c r="AS150" s="27" t="str">
        <f>"х"</f>
        <v>х</v>
      </c>
      <c r="AT150" s="27" t="str">
        <f>"х"</f>
        <v>х</v>
      </c>
      <c r="AU150" s="27" t="str">
        <f>"х"</f>
        <v>х</v>
      </c>
      <c r="AV150" s="27" t="str">
        <f>"х"</f>
        <v>х</v>
      </c>
      <c r="AW150" s="27" t="str">
        <f>"80,00"</f>
        <v>80,00</v>
      </c>
      <c r="AX150" s="27" t="str">
        <f>"2020-2022"</f>
        <v>2020-2022</v>
      </c>
      <c r="AY150" s="27" t="str">
        <f t="shared" si="122"/>
        <v>нет</v>
      </c>
      <c r="AZ150" s="27" t="str">
        <f>"х"</f>
        <v>х</v>
      </c>
      <c r="BA150" s="27" t="str">
        <f>"х"</f>
        <v>х</v>
      </c>
      <c r="BB150" s="27" t="str">
        <f>"х"</f>
        <v>х</v>
      </c>
      <c r="BC150" s="27" t="str">
        <f t="shared" si="123"/>
        <v>нет</v>
      </c>
      <c r="BD150" s="27" t="str">
        <f>"х"</f>
        <v>х</v>
      </c>
      <c r="BE150" s="27" t="str">
        <f>"х"</f>
        <v>х</v>
      </c>
      <c r="BF150" s="27" t="str">
        <f>"х"</f>
        <v>х</v>
      </c>
      <c r="BG150" s="27" t="str">
        <f>""</f>
        <v/>
      </c>
      <c r="BH150" s="27" t="str">
        <f>"60,00"</f>
        <v>60,00</v>
      </c>
      <c r="BI150" s="27" t="str">
        <f>"2023-2025"</f>
        <v>2023-2025</v>
      </c>
      <c r="BJ150" s="27" t="str">
        <f t="shared" si="139"/>
        <v>нет</v>
      </c>
      <c r="BK150" s="27" t="str">
        <f t="shared" si="140"/>
        <v>x</v>
      </c>
      <c r="BL150" s="27" t="str">
        <f>"38,00"</f>
        <v>38,00</v>
      </c>
      <c r="BM150" s="27" t="str">
        <f>"2026-2028"</f>
        <v>2026-2028</v>
      </c>
      <c r="BN150" s="27" t="str">
        <f>""</f>
        <v/>
      </c>
      <c r="BO150" s="27" t="str">
        <f>"38,00"</f>
        <v>38,00</v>
      </c>
      <c r="BP150" s="27" t="str">
        <f>"2022-2024"</f>
        <v>2022-2024</v>
      </c>
      <c r="BQ150" s="27" t="str">
        <f>""</f>
        <v/>
      </c>
      <c r="BR150" s="27" t="str">
        <f>"38,00"</f>
        <v>38,00</v>
      </c>
      <c r="BS150" s="27" t="str">
        <f>"2026-2028"</f>
        <v>2026-2028</v>
      </c>
      <c r="BT150" s="11"/>
      <c r="BU150" s="11"/>
      <c r="BV150" s="11"/>
      <c r="BW150" s="11"/>
      <c r="BX150" s="11"/>
      <c r="BY150" s="11"/>
      <c r="BZ150" s="11"/>
      <c r="CA150" s="11"/>
      <c r="CB150" s="11"/>
      <c r="CC150" s="11"/>
      <c r="CD150" s="11"/>
      <c r="CE150" s="11"/>
      <c r="CF150" s="11"/>
      <c r="CG150" s="11"/>
      <c r="CH150" s="11"/>
      <c r="CI150" s="11"/>
      <c r="CJ150" s="11"/>
      <c r="CK150" s="11"/>
      <c r="CL150" s="11"/>
      <c r="CM150" s="11"/>
      <c r="CN150" s="11"/>
      <c r="CO150" s="11"/>
      <c r="CP150" s="11"/>
      <c r="CQ150" s="11"/>
      <c r="CR150" s="11"/>
      <c r="CS150" s="11"/>
      <c r="CT150" s="11"/>
      <c r="CU150" s="11"/>
      <c r="CV150" s="11"/>
      <c r="CW150" s="11"/>
      <c r="CX150" s="11"/>
      <c r="CY150" s="11"/>
      <c r="CZ150" s="11"/>
      <c r="DA150" s="11"/>
      <c r="DB150" s="11"/>
      <c r="DC150" s="11"/>
      <c r="DD150" s="11"/>
      <c r="DE150" s="11"/>
      <c r="DF150" s="11"/>
      <c r="DG150" s="11"/>
      <c r="DH150" s="11"/>
      <c r="DI150" s="11"/>
      <c r="DJ150" s="11"/>
      <c r="DK150" s="11"/>
      <c r="DL150" s="11"/>
      <c r="DM150" s="11"/>
      <c r="DN150" s="11"/>
      <c r="DO150" s="11"/>
    </row>
    <row r="151" spans="1:119" s="10" customFormat="1" ht="11.25" customHeight="1">
      <c r="A151" s="24" t="str">
        <f>"1.138"</f>
        <v>1.138</v>
      </c>
      <c r="B151" s="25" t="str">
        <f>"д. Яршево, д.38"</f>
        <v>д. Яршево, д.38</v>
      </c>
      <c r="C151" s="26" t="str">
        <f>"1994"</f>
        <v>1994</v>
      </c>
      <c r="D151" s="27" t="str">
        <f>""</f>
        <v/>
      </c>
      <c r="E151" s="27" t="str">
        <f>"90,00"</f>
        <v>90,00</v>
      </c>
      <c r="F151" s="27" t="str">
        <f>"2032-2034"</f>
        <v>2032-2034</v>
      </c>
      <c r="G151" s="27" t="str">
        <f>"нет"</f>
        <v>нет</v>
      </c>
      <c r="H151" s="27" t="str">
        <f>""</f>
        <v/>
      </c>
      <c r="I151" s="27" t="str">
        <f>""</f>
        <v/>
      </c>
      <c r="J151" s="27" t="str">
        <f>""</f>
        <v/>
      </c>
      <c r="K151" s="27" t="str">
        <f t="shared" si="128"/>
        <v>нет</v>
      </c>
      <c r="L151" s="27" t="str">
        <f>""</f>
        <v/>
      </c>
      <c r="M151" s="27" t="str">
        <f>""</f>
        <v/>
      </c>
      <c r="N151" s="27" t="str">
        <f>""</f>
        <v/>
      </c>
      <c r="O151" s="28" t="str">
        <f>""</f>
        <v/>
      </c>
      <c r="P151" s="27" t="str">
        <f>""</f>
        <v/>
      </c>
      <c r="Q151" s="27" t="str">
        <f>""</f>
        <v/>
      </c>
      <c r="R151" s="27" t="str">
        <f>"нет"</f>
        <v>нет</v>
      </c>
      <c r="S151" s="27" t="str">
        <f>""</f>
        <v/>
      </c>
      <c r="T151" s="27" t="str">
        <f>""</f>
        <v/>
      </c>
      <c r="U151" s="27" t="str">
        <f>""</f>
        <v/>
      </c>
      <c r="V151" s="27" t="str">
        <f t="shared" si="129"/>
        <v>нет</v>
      </c>
      <c r="W151" s="27" t="str">
        <f>""</f>
        <v/>
      </c>
      <c r="X151" s="27" t="str">
        <f>""</f>
        <v/>
      </c>
      <c r="Y151" s="29" t="str">
        <f>""</f>
        <v/>
      </c>
      <c r="Z151" s="27" t="str">
        <f t="shared" si="138"/>
        <v>х</v>
      </c>
      <c r="AA151" s="27" t="str">
        <f t="shared" si="131"/>
        <v>х</v>
      </c>
      <c r="AB151" s="27" t="str">
        <f t="shared" si="131"/>
        <v>х</v>
      </c>
      <c r="AC151" s="27" t="str">
        <f t="shared" si="126"/>
        <v>нет</v>
      </c>
      <c r="AD151" s="27" t="str">
        <f t="shared" si="124"/>
        <v>х</v>
      </c>
      <c r="AE151" s="27" t="str">
        <f t="shared" si="124"/>
        <v>х</v>
      </c>
      <c r="AF151" s="27" t="str">
        <f t="shared" si="124"/>
        <v>х</v>
      </c>
      <c r="AG151" s="27" t="str">
        <f t="shared" si="127"/>
        <v>нет</v>
      </c>
      <c r="AH151" s="27" t="str">
        <f t="shared" si="125"/>
        <v>х</v>
      </c>
      <c r="AI151" s="27" t="str">
        <f t="shared" si="125"/>
        <v>х</v>
      </c>
      <c r="AJ151" s="27" t="str">
        <f t="shared" si="125"/>
        <v>х</v>
      </c>
      <c r="AK151" s="28" t="str">
        <f>""</f>
        <v/>
      </c>
      <c r="AL151" s="27" t="str">
        <f>"63,00"</f>
        <v>63,00</v>
      </c>
      <c r="AM151" s="27" t="str">
        <f>"2037-2039"</f>
        <v>2037-2039</v>
      </c>
      <c r="AN151" s="30" t="str">
        <f t="shared" si="120"/>
        <v>нет</v>
      </c>
      <c r="AO151" s="27" t="str">
        <f>""</f>
        <v/>
      </c>
      <c r="AP151" s="27" t="str">
        <f>""</f>
        <v/>
      </c>
      <c r="AQ151" s="27" t="str">
        <f>""</f>
        <v/>
      </c>
      <c r="AR151" s="27" t="str">
        <f t="shared" si="121"/>
        <v>нет</v>
      </c>
      <c r="AS151" s="27" t="str">
        <f>""</f>
        <v/>
      </c>
      <c r="AT151" s="27" t="str">
        <f>""</f>
        <v/>
      </c>
      <c r="AU151" s="27" t="str">
        <f>""</f>
        <v/>
      </c>
      <c r="AV151" s="27" t="str">
        <f>""</f>
        <v/>
      </c>
      <c r="AW151" s="27" t="str">
        <f>"38,00"</f>
        <v>38,00</v>
      </c>
      <c r="AX151" s="27" t="str">
        <f>"2034-2036"</f>
        <v>2034-2036</v>
      </c>
      <c r="AY151" s="27" t="str">
        <f t="shared" si="122"/>
        <v>нет</v>
      </c>
      <c r="AZ151" s="27" t="str">
        <f>""</f>
        <v/>
      </c>
      <c r="BA151" s="27" t="str">
        <f>""</f>
        <v/>
      </c>
      <c r="BB151" s="27" t="str">
        <f>""</f>
        <v/>
      </c>
      <c r="BC151" s="27" t="str">
        <f t="shared" si="123"/>
        <v>нет</v>
      </c>
      <c r="BD151" s="27" t="str">
        <f>""</f>
        <v/>
      </c>
      <c r="BE151" s="27" t="str">
        <f>""</f>
        <v/>
      </c>
      <c r="BF151" s="27" t="str">
        <f>""</f>
        <v/>
      </c>
      <c r="BG151" s="27" t="str">
        <f>""</f>
        <v/>
      </c>
      <c r="BH151" s="27" t="str">
        <f>"60,00"</f>
        <v>60,00</v>
      </c>
      <c r="BI151" s="27" t="str">
        <f>"2020-2022"</f>
        <v>2020-2022</v>
      </c>
      <c r="BJ151" s="27" t="str">
        <f t="shared" si="139"/>
        <v>нет</v>
      </c>
      <c r="BK151" s="27" t="str">
        <f t="shared" si="140"/>
        <v>x</v>
      </c>
      <c r="BL151" s="27" t="str">
        <f>"38,00"</f>
        <v>38,00</v>
      </c>
      <c r="BM151" s="27" t="str">
        <f>"2035-2037"</f>
        <v>2035-2037</v>
      </c>
      <c r="BN151" s="27" t="str">
        <f>""</f>
        <v/>
      </c>
      <c r="BO151" s="27" t="str">
        <f>"38,00"</f>
        <v>38,00</v>
      </c>
      <c r="BP151" s="27" t="str">
        <f>"2037-2039"</f>
        <v>2037-2039</v>
      </c>
      <c r="BQ151" s="27" t="str">
        <f>""</f>
        <v/>
      </c>
      <c r="BR151" s="27" t="str">
        <f>"38,00"</f>
        <v>38,00</v>
      </c>
      <c r="BS151" s="27" t="str">
        <f>"2035-2037"</f>
        <v>2035-2037</v>
      </c>
      <c r="BT151" s="11"/>
      <c r="BU151" s="11"/>
      <c r="BV151" s="11"/>
      <c r="BW151" s="11"/>
      <c r="BX151" s="11"/>
      <c r="BY151" s="11"/>
      <c r="BZ151" s="11"/>
      <c r="CA151" s="11"/>
      <c r="CB151" s="11"/>
      <c r="CC151" s="11"/>
      <c r="CD151" s="11"/>
      <c r="CE151" s="11"/>
      <c r="CF151" s="11"/>
      <c r="CG151" s="11"/>
      <c r="CH151" s="11"/>
      <c r="CI151" s="11"/>
      <c r="CJ151" s="11"/>
      <c r="CK151" s="11"/>
      <c r="CL151" s="11"/>
      <c r="CM151" s="11"/>
      <c r="CN151" s="11"/>
      <c r="CO151" s="11"/>
      <c r="CP151" s="11"/>
      <c r="CQ151" s="11"/>
      <c r="CR151" s="11"/>
      <c r="CS151" s="11"/>
      <c r="CT151" s="11"/>
      <c r="CU151" s="11"/>
      <c r="CV151" s="11"/>
      <c r="CW151" s="11"/>
      <c r="CX151" s="11"/>
      <c r="CY151" s="11"/>
      <c r="CZ151" s="11"/>
      <c r="DA151" s="11"/>
      <c r="DB151" s="11"/>
      <c r="DC151" s="11"/>
      <c r="DD151" s="11"/>
      <c r="DE151" s="11"/>
      <c r="DF151" s="11"/>
      <c r="DG151" s="11"/>
      <c r="DH151" s="11"/>
      <c r="DI151" s="11"/>
      <c r="DJ151" s="11"/>
      <c r="DK151" s="11"/>
      <c r="DL151" s="11"/>
      <c r="DM151" s="11"/>
      <c r="DN151" s="11"/>
      <c r="DO151" s="11"/>
    </row>
    <row r="152" spans="1:119" s="10" customFormat="1" ht="11.25" customHeight="1">
      <c r="A152" s="24" t="str">
        <f>"1.139"</f>
        <v>1.139</v>
      </c>
      <c r="B152" s="25" t="str">
        <f>"д. Яршево, д.40"</f>
        <v>д. Яршево, д.40</v>
      </c>
      <c r="C152" s="26" t="str">
        <f>"1994"</f>
        <v>1994</v>
      </c>
      <c r="D152" s="27" t="str">
        <f>""</f>
        <v/>
      </c>
      <c r="E152" s="27" t="str">
        <f>"90,00"</f>
        <v>90,00</v>
      </c>
      <c r="F152" s="27" t="str">
        <f>"2032-2034"</f>
        <v>2032-2034</v>
      </c>
      <c r="G152" s="27" t="str">
        <f>"нет"</f>
        <v>нет</v>
      </c>
      <c r="H152" s="27" t="str">
        <f>""</f>
        <v/>
      </c>
      <c r="I152" s="27" t="str">
        <f>""</f>
        <v/>
      </c>
      <c r="J152" s="27" t="str">
        <f>""</f>
        <v/>
      </c>
      <c r="K152" s="27" t="str">
        <f t="shared" si="128"/>
        <v>нет</v>
      </c>
      <c r="L152" s="27" t="str">
        <f>""</f>
        <v/>
      </c>
      <c r="M152" s="27" t="str">
        <f>""</f>
        <v/>
      </c>
      <c r="N152" s="27" t="str">
        <f>""</f>
        <v/>
      </c>
      <c r="O152" s="28" t="str">
        <f>""</f>
        <v/>
      </c>
      <c r="P152" s="27" t="str">
        <f>""</f>
        <v/>
      </c>
      <c r="Q152" s="27" t="str">
        <f>""</f>
        <v/>
      </c>
      <c r="R152" s="27" t="str">
        <f>"нет"</f>
        <v>нет</v>
      </c>
      <c r="S152" s="27" t="str">
        <f>""</f>
        <v/>
      </c>
      <c r="T152" s="27" t="str">
        <f>""</f>
        <v/>
      </c>
      <c r="U152" s="27" t="str">
        <f>""</f>
        <v/>
      </c>
      <c r="V152" s="27" t="str">
        <f t="shared" si="129"/>
        <v>нет</v>
      </c>
      <c r="W152" s="27" t="str">
        <f>""</f>
        <v/>
      </c>
      <c r="X152" s="27" t="str">
        <f>""</f>
        <v/>
      </c>
      <c r="Y152" s="29" t="str">
        <f>""</f>
        <v/>
      </c>
      <c r="Z152" s="27" t="str">
        <f t="shared" si="138"/>
        <v>х</v>
      </c>
      <c r="AA152" s="27" t="str">
        <f t="shared" si="131"/>
        <v>х</v>
      </c>
      <c r="AB152" s="27" t="str">
        <f t="shared" si="131"/>
        <v>х</v>
      </c>
      <c r="AC152" s="27" t="str">
        <f t="shared" si="126"/>
        <v>нет</v>
      </c>
      <c r="AD152" s="27" t="str">
        <f t="shared" si="124"/>
        <v>х</v>
      </c>
      <c r="AE152" s="27" t="str">
        <f t="shared" si="124"/>
        <v>х</v>
      </c>
      <c r="AF152" s="27" t="str">
        <f t="shared" si="124"/>
        <v>х</v>
      </c>
      <c r="AG152" s="27" t="str">
        <f t="shared" si="127"/>
        <v>нет</v>
      </c>
      <c r="AH152" s="27" t="str">
        <f t="shared" si="125"/>
        <v>х</v>
      </c>
      <c r="AI152" s="27" t="str">
        <f t="shared" si="125"/>
        <v>х</v>
      </c>
      <c r="AJ152" s="27" t="str">
        <f t="shared" si="125"/>
        <v>х</v>
      </c>
      <c r="AK152" s="28" t="str">
        <f>""</f>
        <v/>
      </c>
      <c r="AL152" s="27" t="str">
        <f>"63,00"</f>
        <v>63,00</v>
      </c>
      <c r="AM152" s="27" t="str">
        <f>"2027-2029"</f>
        <v>2027-2029</v>
      </c>
      <c r="AN152" s="30" t="str">
        <f t="shared" si="120"/>
        <v>нет</v>
      </c>
      <c r="AO152" s="27" t="str">
        <f>""</f>
        <v/>
      </c>
      <c r="AP152" s="27" t="str">
        <f>""</f>
        <v/>
      </c>
      <c r="AQ152" s="27" t="str">
        <f>""</f>
        <v/>
      </c>
      <c r="AR152" s="27" t="str">
        <f t="shared" si="121"/>
        <v>нет</v>
      </c>
      <c r="AS152" s="27" t="str">
        <f>""</f>
        <v/>
      </c>
      <c r="AT152" s="27" t="str">
        <f>""</f>
        <v/>
      </c>
      <c r="AU152" s="27" t="str">
        <f>""</f>
        <v/>
      </c>
      <c r="AV152" s="27" t="str">
        <f>""</f>
        <v/>
      </c>
      <c r="AW152" s="27" t="str">
        <f>"38,00"</f>
        <v>38,00</v>
      </c>
      <c r="AX152" s="27" t="str">
        <f>"2034-2036"</f>
        <v>2034-2036</v>
      </c>
      <c r="AY152" s="27" t="str">
        <f t="shared" si="122"/>
        <v>нет</v>
      </c>
      <c r="AZ152" s="27" t="str">
        <f>""</f>
        <v/>
      </c>
      <c r="BA152" s="27" t="str">
        <f>""</f>
        <v/>
      </c>
      <c r="BB152" s="27" t="str">
        <f>""</f>
        <v/>
      </c>
      <c r="BC152" s="27" t="str">
        <f t="shared" si="123"/>
        <v>нет</v>
      </c>
      <c r="BD152" s="27" t="str">
        <f>""</f>
        <v/>
      </c>
      <c r="BE152" s="27" t="str">
        <f>""</f>
        <v/>
      </c>
      <c r="BF152" s="27" t="str">
        <f>""</f>
        <v/>
      </c>
      <c r="BG152" s="27" t="str">
        <f>""</f>
        <v/>
      </c>
      <c r="BH152" s="27" t="str">
        <f>"50,00"</f>
        <v>50,00</v>
      </c>
      <c r="BI152" s="27" t="str">
        <f>"2030-2032"</f>
        <v>2030-2032</v>
      </c>
      <c r="BJ152" s="27" t="str">
        <f t="shared" si="139"/>
        <v>нет</v>
      </c>
      <c r="BK152" s="27" t="str">
        <f t="shared" si="140"/>
        <v>x</v>
      </c>
      <c r="BL152" s="27" t="str">
        <f>"38,00"</f>
        <v>38,00</v>
      </c>
      <c r="BM152" s="27" t="str">
        <f>"2035-2037"</f>
        <v>2035-2037</v>
      </c>
      <c r="BN152" s="27" t="str">
        <f>""</f>
        <v/>
      </c>
      <c r="BO152" s="27" t="str">
        <f>"40,00"</f>
        <v>40,00</v>
      </c>
      <c r="BP152" s="27" t="str">
        <f>"2029-2031"</f>
        <v>2029-2031</v>
      </c>
      <c r="BQ152" s="27" t="str">
        <f>""</f>
        <v/>
      </c>
      <c r="BR152" s="27" t="str">
        <f>"38,00"</f>
        <v>38,00</v>
      </c>
      <c r="BS152" s="27" t="str">
        <f>"2035-2037"</f>
        <v>2035-2037</v>
      </c>
      <c r="BT152" s="11"/>
      <c r="BU152" s="11"/>
      <c r="BV152" s="11"/>
      <c r="BW152" s="11"/>
      <c r="BX152" s="11"/>
      <c r="BY152" s="11"/>
      <c r="BZ152" s="11"/>
      <c r="CA152" s="11"/>
      <c r="CB152" s="11"/>
      <c r="CC152" s="11"/>
      <c r="CD152" s="11"/>
      <c r="CE152" s="11"/>
      <c r="CF152" s="11"/>
      <c r="CG152" s="11"/>
      <c r="CH152" s="11"/>
      <c r="CI152" s="11"/>
      <c r="CJ152" s="11"/>
      <c r="CK152" s="11"/>
      <c r="CL152" s="11"/>
      <c r="CM152" s="11"/>
      <c r="CN152" s="11"/>
      <c r="CO152" s="11"/>
      <c r="CP152" s="11"/>
      <c r="CQ152" s="11"/>
      <c r="CR152" s="11"/>
      <c r="CS152" s="11"/>
      <c r="CT152" s="11"/>
      <c r="CU152" s="11"/>
      <c r="CV152" s="11"/>
      <c r="CW152" s="11"/>
      <c r="CX152" s="11"/>
      <c r="CY152" s="11"/>
      <c r="CZ152" s="11"/>
      <c r="DA152" s="11"/>
      <c r="DB152" s="11"/>
      <c r="DC152" s="11"/>
      <c r="DD152" s="11"/>
      <c r="DE152" s="11"/>
      <c r="DF152" s="11"/>
      <c r="DG152" s="11"/>
      <c r="DH152" s="11"/>
      <c r="DI152" s="11"/>
      <c r="DJ152" s="11"/>
      <c r="DK152" s="11"/>
      <c r="DL152" s="11"/>
      <c r="DM152" s="11"/>
      <c r="DN152" s="11"/>
      <c r="DO152" s="11"/>
    </row>
    <row r="153" spans="1:119" s="10" customFormat="1" ht="11.25" customHeight="1">
      <c r="A153" s="24" t="str">
        <f>"1.140"</f>
        <v>1.140</v>
      </c>
      <c r="B153" s="25" t="str">
        <f>"м. Пустынь, д.21"</f>
        <v>м. Пустынь, д.21</v>
      </c>
      <c r="C153" s="26" t="str">
        <f>"1980"</f>
        <v>1980</v>
      </c>
      <c r="D153" s="27" t="str">
        <f>"2009"</f>
        <v>2009</v>
      </c>
      <c r="E153" s="27" t="str">
        <f>"20,00"</f>
        <v>20,00</v>
      </c>
      <c r="F153" s="27" t="str">
        <f>"2031-2033"</f>
        <v>2031-2033</v>
      </c>
      <c r="G153" s="27" t="str">
        <f>"да"</f>
        <v>да</v>
      </c>
      <c r="H153" s="27" t="str">
        <f>"2009"</f>
        <v>2009</v>
      </c>
      <c r="I153" s="27" t="str">
        <f>"25,00"</f>
        <v>25,00</v>
      </c>
      <c r="J153" s="27" t="str">
        <f>"2025-2027"</f>
        <v>2025-2027</v>
      </c>
      <c r="K153" s="27" t="str">
        <f t="shared" si="128"/>
        <v>нет</v>
      </c>
      <c r="L153" s="27" t="str">
        <f>""</f>
        <v/>
      </c>
      <c r="M153" s="27" t="str">
        <f>""</f>
        <v/>
      </c>
      <c r="N153" s="27" t="str">
        <f>""</f>
        <v/>
      </c>
      <c r="O153" s="28" t="str">
        <f>"2009"</f>
        <v>2009</v>
      </c>
      <c r="P153" s="27" t="str">
        <f>"16,00"</f>
        <v>16,00</v>
      </c>
      <c r="Q153" s="27" t="str">
        <f>"2034-2036"</f>
        <v>2034-2036</v>
      </c>
      <c r="R153" s="27" t="str">
        <f>"да"</f>
        <v>да</v>
      </c>
      <c r="S153" s="27" t="str">
        <f>"2009"</f>
        <v>2009</v>
      </c>
      <c r="T153" s="27" t="str">
        <f>"25,00"</f>
        <v>25,00</v>
      </c>
      <c r="U153" s="27" t="str">
        <f>"2025-2027"</f>
        <v>2025-2027</v>
      </c>
      <c r="V153" s="27" t="str">
        <f t="shared" si="129"/>
        <v>нет</v>
      </c>
      <c r="W153" s="27" t="str">
        <f>""</f>
        <v/>
      </c>
      <c r="X153" s="27" t="str">
        <f>""</f>
        <v/>
      </c>
      <c r="Y153" s="29" t="str">
        <f>""</f>
        <v/>
      </c>
      <c r="Z153" s="27" t="str">
        <f t="shared" si="138"/>
        <v>х</v>
      </c>
      <c r="AA153" s="27" t="str">
        <f t="shared" si="131"/>
        <v>х</v>
      </c>
      <c r="AB153" s="27" t="str">
        <f t="shared" si="131"/>
        <v>х</v>
      </c>
      <c r="AC153" s="27" t="str">
        <f t="shared" si="126"/>
        <v>нет</v>
      </c>
      <c r="AD153" s="27" t="str">
        <f t="shared" si="124"/>
        <v>х</v>
      </c>
      <c r="AE153" s="27" t="str">
        <f t="shared" si="124"/>
        <v>х</v>
      </c>
      <c r="AF153" s="27" t="str">
        <f t="shared" si="124"/>
        <v>х</v>
      </c>
      <c r="AG153" s="27" t="str">
        <f t="shared" si="127"/>
        <v>нет</v>
      </c>
      <c r="AH153" s="27" t="str">
        <f t="shared" si="125"/>
        <v>х</v>
      </c>
      <c r="AI153" s="27" t="str">
        <f t="shared" si="125"/>
        <v>х</v>
      </c>
      <c r="AJ153" s="27" t="str">
        <f t="shared" si="125"/>
        <v>х</v>
      </c>
      <c r="AK153" s="28" t="str">
        <f>"2009"</f>
        <v>2009</v>
      </c>
      <c r="AL153" s="27" t="str">
        <f>"13,00"</f>
        <v>13,00</v>
      </c>
      <c r="AM153" s="27" t="str">
        <f>"2039-2041"</f>
        <v>2039-2041</v>
      </c>
      <c r="AN153" s="30" t="str">
        <f>"да"</f>
        <v>да</v>
      </c>
      <c r="AO153" s="27" t="str">
        <f>"2009"</f>
        <v>2009</v>
      </c>
      <c r="AP153" s="27" t="str">
        <f>"66,00"</f>
        <v>66,00</v>
      </c>
      <c r="AQ153" s="27" t="str">
        <f>"2015-2017"</f>
        <v>2015-2017</v>
      </c>
      <c r="AR153" s="27" t="str">
        <f t="shared" si="121"/>
        <v>нет</v>
      </c>
      <c r="AS153" s="27" t="str">
        <f>""</f>
        <v/>
      </c>
      <c r="AT153" s="27" t="str">
        <f>""</f>
        <v/>
      </c>
      <c r="AU153" s="27" t="str">
        <f>""</f>
        <v/>
      </c>
      <c r="AV153" s="27" t="str">
        <f>""</f>
        <v/>
      </c>
      <c r="AW153" s="27" t="str">
        <f>""</f>
        <v/>
      </c>
      <c r="AX153" s="27" t="str">
        <f>""</f>
        <v/>
      </c>
      <c r="AY153" s="27" t="str">
        <f t="shared" si="122"/>
        <v>нет</v>
      </c>
      <c r="AZ153" s="27" t="str">
        <f>""</f>
        <v/>
      </c>
      <c r="BA153" s="27" t="str">
        <f>""</f>
        <v/>
      </c>
      <c r="BB153" s="27" t="str">
        <f>""</f>
        <v/>
      </c>
      <c r="BC153" s="27" t="str">
        <f t="shared" si="123"/>
        <v>нет</v>
      </c>
      <c r="BD153" s="27" t="str">
        <f>""</f>
        <v/>
      </c>
      <c r="BE153" s="27" t="str">
        <f>""</f>
        <v/>
      </c>
      <c r="BF153" s="27" t="str">
        <f>""</f>
        <v/>
      </c>
      <c r="BG153" s="27" t="str">
        <f>"2009"</f>
        <v>2009</v>
      </c>
      <c r="BH153" s="27" t="str">
        <f>"27,00"</f>
        <v>27,00</v>
      </c>
      <c r="BI153" s="27" t="str">
        <f>"2032-2034"</f>
        <v>2032-2034</v>
      </c>
      <c r="BJ153" s="27" t="str">
        <f t="shared" si="139"/>
        <v>нет</v>
      </c>
      <c r="BK153" s="27" t="str">
        <f>"2009"</f>
        <v>2009</v>
      </c>
      <c r="BL153" s="27" t="str">
        <f>"8,00"</f>
        <v>8,00</v>
      </c>
      <c r="BM153" s="27" t="str">
        <f>"2045-2047"</f>
        <v>2045-2047</v>
      </c>
      <c r="BN153" s="27" t="str">
        <f>"2009"</f>
        <v>2009</v>
      </c>
      <c r="BO153" s="27" t="str">
        <f>"8,00"</f>
        <v>8,00</v>
      </c>
      <c r="BP153" s="27" t="str">
        <f>"2039-2041"</f>
        <v>2039-2041</v>
      </c>
      <c r="BQ153" s="27" t="str">
        <f>"2009"</f>
        <v>2009</v>
      </c>
      <c r="BR153" s="27" t="str">
        <f>"8,00"</f>
        <v>8,00</v>
      </c>
      <c r="BS153" s="27" t="str">
        <f>"2045-2047"</f>
        <v>2045-2047</v>
      </c>
      <c r="BT153" s="11"/>
      <c r="BU153" s="11"/>
      <c r="BV153" s="11"/>
      <c r="BW153" s="11"/>
      <c r="BX153" s="11"/>
      <c r="BY153" s="11"/>
      <c r="BZ153" s="11"/>
      <c r="CA153" s="11"/>
      <c r="CB153" s="11"/>
      <c r="CC153" s="11"/>
      <c r="CD153" s="11"/>
      <c r="CE153" s="11"/>
      <c r="CF153" s="11"/>
      <c r="CG153" s="11"/>
      <c r="CH153" s="11"/>
      <c r="CI153" s="11"/>
      <c r="CJ153" s="11"/>
      <c r="CK153" s="11"/>
      <c r="CL153" s="11"/>
      <c r="CM153" s="11"/>
      <c r="CN153" s="11"/>
      <c r="CO153" s="11"/>
      <c r="CP153" s="11"/>
      <c r="CQ153" s="11"/>
      <c r="CR153" s="11"/>
      <c r="CS153" s="11"/>
      <c r="CT153" s="11"/>
      <c r="CU153" s="11"/>
      <c r="CV153" s="11"/>
      <c r="CW153" s="11"/>
      <c r="CX153" s="11"/>
      <c r="CY153" s="11"/>
      <c r="CZ153" s="11"/>
      <c r="DA153" s="11"/>
      <c r="DB153" s="11"/>
      <c r="DC153" s="11"/>
      <c r="DD153" s="11"/>
      <c r="DE153" s="11"/>
      <c r="DF153" s="11"/>
      <c r="DG153" s="11"/>
      <c r="DH153" s="11"/>
      <c r="DI153" s="11"/>
      <c r="DJ153" s="11"/>
      <c r="DK153" s="11"/>
      <c r="DL153" s="11"/>
      <c r="DM153" s="11"/>
      <c r="DN153" s="11"/>
      <c r="DO153" s="11"/>
    </row>
    <row r="154" spans="1:119" s="9" customFormat="1" ht="11.25" customHeight="1">
      <c r="A154" s="24" t="str">
        <f>"1.141"</f>
        <v>1.141</v>
      </c>
      <c r="B154" s="25" t="str">
        <f>"с. Вогнема, ул. Нефтебазовская, д.1"</f>
        <v>с. Вогнема, ул. Нефтебазовская, д.1</v>
      </c>
      <c r="C154" s="26" t="str">
        <f>"1978"</f>
        <v>1978</v>
      </c>
      <c r="D154" s="27" t="str">
        <f>"1999"</f>
        <v>1999</v>
      </c>
      <c r="E154" s="27" t="str">
        <f>"70,00"</f>
        <v>70,00</v>
      </c>
      <c r="F154" s="27" t="str">
        <f>"2025-2027"</f>
        <v>2025-2027</v>
      </c>
      <c r="G154" s="27" t="str">
        <f>"да"</f>
        <v>да</v>
      </c>
      <c r="H154" s="27" t="str">
        <f>"2013"</f>
        <v>2013</v>
      </c>
      <c r="I154" s="27" t="str">
        <f>"1,00"</f>
        <v>1,00</v>
      </c>
      <c r="J154" s="27" t="str">
        <f>"2029-2031"</f>
        <v>2029-2031</v>
      </c>
      <c r="K154" s="27" t="str">
        <f t="shared" si="128"/>
        <v>нет</v>
      </c>
      <c r="L154" s="27" t="str">
        <f>""</f>
        <v/>
      </c>
      <c r="M154" s="27" t="str">
        <f>""</f>
        <v/>
      </c>
      <c r="N154" s="27" t="str">
        <f>""</f>
        <v/>
      </c>
      <c r="O154" s="28" t="str">
        <f>""</f>
        <v/>
      </c>
      <c r="P154" s="27" t="str">
        <f>""</f>
        <v/>
      </c>
      <c r="Q154" s="27" t="str">
        <f>""</f>
        <v/>
      </c>
      <c r="R154" s="27" t="str">
        <f>"нет"</f>
        <v>нет</v>
      </c>
      <c r="S154" s="27" t="str">
        <f>""</f>
        <v/>
      </c>
      <c r="T154" s="27" t="str">
        <f>""</f>
        <v/>
      </c>
      <c r="U154" s="27" t="str">
        <f>""</f>
        <v/>
      </c>
      <c r="V154" s="27" t="str">
        <f t="shared" si="129"/>
        <v>нет</v>
      </c>
      <c r="W154" s="27" t="str">
        <f>""</f>
        <v/>
      </c>
      <c r="X154" s="27" t="str">
        <f>""</f>
        <v/>
      </c>
      <c r="Y154" s="29" t="str">
        <f>""</f>
        <v/>
      </c>
      <c r="Z154" s="27" t="str">
        <f t="shared" si="138"/>
        <v>х</v>
      </c>
      <c r="AA154" s="27" t="str">
        <f t="shared" si="131"/>
        <v>х</v>
      </c>
      <c r="AB154" s="27" t="str">
        <f t="shared" si="131"/>
        <v>х</v>
      </c>
      <c r="AC154" s="27" t="str">
        <f t="shared" si="126"/>
        <v>нет</v>
      </c>
      <c r="AD154" s="27" t="str">
        <f t="shared" si="124"/>
        <v>х</v>
      </c>
      <c r="AE154" s="27" t="str">
        <f t="shared" si="124"/>
        <v>х</v>
      </c>
      <c r="AF154" s="27" t="str">
        <f t="shared" si="124"/>
        <v>х</v>
      </c>
      <c r="AG154" s="27" t="str">
        <f t="shared" si="127"/>
        <v>нет</v>
      </c>
      <c r="AH154" s="27" t="str">
        <f t="shared" si="125"/>
        <v>х</v>
      </c>
      <c r="AI154" s="27" t="str">
        <f t="shared" si="125"/>
        <v>х</v>
      </c>
      <c r="AJ154" s="27" t="str">
        <f t="shared" si="125"/>
        <v>х</v>
      </c>
      <c r="AK154" s="28" t="str">
        <f>"1999"</f>
        <v>1999</v>
      </c>
      <c r="AL154" s="27" t="str">
        <f>"47,00"</f>
        <v>47,00</v>
      </c>
      <c r="AM154" s="27" t="str">
        <f>"2029-2031"</f>
        <v>2029-2031</v>
      </c>
      <c r="AN154" s="30" t="str">
        <f>"нет"</f>
        <v>нет</v>
      </c>
      <c r="AO154" s="27" t="str">
        <f>""</f>
        <v/>
      </c>
      <c r="AP154" s="27" t="str">
        <f>""</f>
        <v/>
      </c>
      <c r="AQ154" s="27" t="str">
        <f>""</f>
        <v/>
      </c>
      <c r="AR154" s="27" t="str">
        <f t="shared" si="121"/>
        <v>нет</v>
      </c>
      <c r="AS154" s="27" t="str">
        <f>""</f>
        <v/>
      </c>
      <c r="AT154" s="27" t="str">
        <f>""</f>
        <v/>
      </c>
      <c r="AU154" s="27" t="str">
        <f>""</f>
        <v/>
      </c>
      <c r="AV154" s="27" t="str">
        <f>""</f>
        <v/>
      </c>
      <c r="AW154" s="27" t="str">
        <f>""</f>
        <v/>
      </c>
      <c r="AX154" s="27" t="str">
        <f>""</f>
        <v/>
      </c>
      <c r="AY154" s="27" t="str">
        <f t="shared" si="122"/>
        <v>нет</v>
      </c>
      <c r="AZ154" s="27" t="str">
        <f>""</f>
        <v/>
      </c>
      <c r="BA154" s="27" t="str">
        <f>""</f>
        <v/>
      </c>
      <c r="BB154" s="27" t="str">
        <f>""</f>
        <v/>
      </c>
      <c r="BC154" s="27" t="str">
        <f t="shared" si="123"/>
        <v>нет</v>
      </c>
      <c r="BD154" s="27" t="str">
        <f>""</f>
        <v/>
      </c>
      <c r="BE154" s="27" t="str">
        <f>""</f>
        <v/>
      </c>
      <c r="BF154" s="27" t="str">
        <f>""</f>
        <v/>
      </c>
      <c r="BG154" s="27" t="str">
        <f>""</f>
        <v/>
      </c>
      <c r="BH154" s="27" t="str">
        <f>"60,00"</f>
        <v>60,00</v>
      </c>
      <c r="BI154" s="27" t="str">
        <f>"2017-2019"</f>
        <v>2017-2019</v>
      </c>
      <c r="BJ154" s="27" t="str">
        <f t="shared" si="139"/>
        <v>нет</v>
      </c>
      <c r="BK154" s="27" t="str">
        <f>"x"</f>
        <v>x</v>
      </c>
      <c r="BL154" s="27" t="str">
        <f>"60,00"</f>
        <v>60,00</v>
      </c>
      <c r="BM154" s="27" t="str">
        <f>"2023-2025"</f>
        <v>2023-2025</v>
      </c>
      <c r="BN154" s="27" t="str">
        <f>""</f>
        <v/>
      </c>
      <c r="BO154" s="27" t="str">
        <f>"60,00"</f>
        <v>60,00</v>
      </c>
      <c r="BP154" s="27" t="str">
        <f>"2022-2024"</f>
        <v>2022-2024</v>
      </c>
      <c r="BQ154" s="27" t="str">
        <f>""</f>
        <v/>
      </c>
      <c r="BR154" s="27" t="str">
        <f>"60,00"</f>
        <v>60,00</v>
      </c>
      <c r="BS154" s="27" t="str">
        <f>"2023-2025"</f>
        <v>2023-2025</v>
      </c>
      <c r="BT154" s="11"/>
      <c r="BU154" s="11"/>
      <c r="BV154" s="11"/>
      <c r="BW154" s="11"/>
      <c r="BX154" s="11"/>
      <c r="BY154" s="11"/>
      <c r="BZ154" s="11"/>
      <c r="CA154" s="11"/>
      <c r="CB154" s="11"/>
      <c r="CC154" s="11"/>
      <c r="CD154" s="11"/>
      <c r="CE154" s="11"/>
      <c r="CF154" s="11"/>
      <c r="CG154" s="11"/>
      <c r="CH154" s="11"/>
      <c r="CI154" s="11"/>
      <c r="CJ154" s="11"/>
      <c r="CK154" s="11"/>
      <c r="CL154" s="11"/>
      <c r="CM154" s="11"/>
      <c r="CN154" s="11"/>
      <c r="CO154" s="11"/>
      <c r="CP154" s="11"/>
      <c r="CQ154" s="11"/>
      <c r="CR154" s="11"/>
      <c r="CS154" s="11"/>
      <c r="CT154" s="11"/>
      <c r="CU154" s="11"/>
      <c r="CV154" s="11"/>
      <c r="CW154" s="11"/>
      <c r="CX154" s="11"/>
      <c r="CY154" s="11"/>
      <c r="CZ154" s="11"/>
      <c r="DA154" s="11"/>
      <c r="DB154" s="11"/>
      <c r="DC154" s="11"/>
      <c r="DD154" s="11"/>
      <c r="DE154" s="11"/>
      <c r="DF154" s="11"/>
      <c r="DG154" s="11"/>
      <c r="DH154" s="11"/>
      <c r="DI154" s="11"/>
      <c r="DJ154" s="11"/>
      <c r="DK154" s="11"/>
      <c r="DL154" s="11"/>
      <c r="DM154" s="11"/>
      <c r="DN154" s="11"/>
      <c r="DO154" s="11"/>
    </row>
    <row r="155" spans="1:119" s="10" customFormat="1" ht="11.25" customHeight="1">
      <c r="A155" s="24" t="str">
        <f>"1.142"</f>
        <v>1.142</v>
      </c>
      <c r="B155" s="25" t="str">
        <f>"с. Горицы, ул. Школьная, д.5"</f>
        <v>с. Горицы, ул. Школьная, д.5</v>
      </c>
      <c r="C155" s="26" t="str">
        <f>"1991"</f>
        <v>1991</v>
      </c>
      <c r="D155" s="27" t="str">
        <f>"2010"</f>
        <v>2010</v>
      </c>
      <c r="E155" s="27" t="str">
        <f>"12,00"</f>
        <v>12,00</v>
      </c>
      <c r="F155" s="27" t="str">
        <f>"2030-2032"</f>
        <v>2030-2032</v>
      </c>
      <c r="G155" s="27" t="str">
        <f>"да"</f>
        <v>да</v>
      </c>
      <c r="H155" s="27" t="str">
        <f>"2010"</f>
        <v>2010</v>
      </c>
      <c r="I155" s="27" t="str">
        <f>"19,00"</f>
        <v>19,00</v>
      </c>
      <c r="J155" s="27" t="str">
        <f>"2026-2028"</f>
        <v>2026-2028</v>
      </c>
      <c r="K155" s="27" t="str">
        <f t="shared" si="128"/>
        <v>нет</v>
      </c>
      <c r="L155" s="27" t="str">
        <f>""</f>
        <v/>
      </c>
      <c r="M155" s="27" t="str">
        <f>""</f>
        <v/>
      </c>
      <c r="N155" s="27" t="str">
        <f>""</f>
        <v/>
      </c>
      <c r="O155" s="28" t="str">
        <f>""</f>
        <v/>
      </c>
      <c r="P155" s="27" t="str">
        <f>"80,00"</f>
        <v>80,00</v>
      </c>
      <c r="Q155" s="27" t="str">
        <f>"2030-2032"</f>
        <v>2030-2032</v>
      </c>
      <c r="R155" s="27" t="str">
        <f>"да"</f>
        <v>да</v>
      </c>
      <c r="S155" s="27" t="str">
        <f>"2010"</f>
        <v>2010</v>
      </c>
      <c r="T155" s="27" t="str">
        <f>"18,00"</f>
        <v>18,00</v>
      </c>
      <c r="U155" s="27" t="str">
        <f>"2026-2028"</f>
        <v>2026-2028</v>
      </c>
      <c r="V155" s="27" t="str">
        <f t="shared" si="129"/>
        <v>нет</v>
      </c>
      <c r="W155" s="27" t="str">
        <f>""</f>
        <v/>
      </c>
      <c r="X155" s="27" t="str">
        <f>""</f>
        <v/>
      </c>
      <c r="Y155" s="29" t="str">
        <f>""</f>
        <v/>
      </c>
      <c r="Z155" s="27" t="str">
        <f t="shared" si="138"/>
        <v>х</v>
      </c>
      <c r="AA155" s="27" t="str">
        <f t="shared" si="131"/>
        <v>х</v>
      </c>
      <c r="AB155" s="27" t="str">
        <f t="shared" si="131"/>
        <v>х</v>
      </c>
      <c r="AC155" s="27" t="str">
        <f t="shared" si="126"/>
        <v>нет</v>
      </c>
      <c r="AD155" s="27" t="str">
        <f t="shared" si="124"/>
        <v>х</v>
      </c>
      <c r="AE155" s="27" t="str">
        <f t="shared" si="124"/>
        <v>х</v>
      </c>
      <c r="AF155" s="27" t="str">
        <f t="shared" si="124"/>
        <v>х</v>
      </c>
      <c r="AG155" s="27" t="str">
        <f t="shared" si="127"/>
        <v>нет</v>
      </c>
      <c r="AH155" s="27" t="str">
        <f t="shared" si="125"/>
        <v>х</v>
      </c>
      <c r="AI155" s="27" t="str">
        <f t="shared" si="125"/>
        <v>х</v>
      </c>
      <c r="AJ155" s="27" t="str">
        <f t="shared" si="125"/>
        <v>х</v>
      </c>
      <c r="AK155" s="28" t="str">
        <f>"2010"</f>
        <v>2010</v>
      </c>
      <c r="AL155" s="27" t="str">
        <f>"10,00"</f>
        <v>10,00</v>
      </c>
      <c r="AM155" s="27" t="str">
        <f>"2043-2045"</f>
        <v>2043-2045</v>
      </c>
      <c r="AN155" s="30" t="str">
        <f>"да"</f>
        <v>да</v>
      </c>
      <c r="AO155" s="27" t="str">
        <f>"2010"</f>
        <v>2010</v>
      </c>
      <c r="AP155" s="27" t="str">
        <f>"50,00"</f>
        <v>50,00</v>
      </c>
      <c r="AQ155" s="27" t="str">
        <f>"2016-2018"</f>
        <v>2016-2018</v>
      </c>
      <c r="AR155" s="27" t="str">
        <f t="shared" si="121"/>
        <v>нет</v>
      </c>
      <c r="AS155" s="27" t="str">
        <f>""</f>
        <v/>
      </c>
      <c r="AT155" s="27" t="str">
        <f>""</f>
        <v/>
      </c>
      <c r="AU155" s="27" t="str">
        <f>""</f>
        <v/>
      </c>
      <c r="AV155" s="27" t="str">
        <f>"2010"</f>
        <v>2010</v>
      </c>
      <c r="AW155" s="27" t="str">
        <f>"6,00"</f>
        <v>6,00</v>
      </c>
      <c r="AX155" s="27" t="str">
        <f>"2045-2047"</f>
        <v>2045-2047</v>
      </c>
      <c r="AY155" s="27" t="str">
        <f t="shared" si="122"/>
        <v>нет</v>
      </c>
      <c r="AZ155" s="27" t="str">
        <f>""</f>
        <v/>
      </c>
      <c r="BA155" s="27" t="str">
        <f>""</f>
        <v/>
      </c>
      <c r="BB155" s="27" t="str">
        <f>""</f>
        <v/>
      </c>
      <c r="BC155" s="27" t="str">
        <f t="shared" si="123"/>
        <v>нет</v>
      </c>
      <c r="BD155" s="27" t="str">
        <f>""</f>
        <v/>
      </c>
      <c r="BE155" s="27" t="str">
        <f>""</f>
        <v/>
      </c>
      <c r="BF155" s="27" t="str">
        <f>""</f>
        <v/>
      </c>
      <c r="BG155" s="27" t="str">
        <f>"2010"</f>
        <v>2010</v>
      </c>
      <c r="BH155" s="27" t="str">
        <f>"20,00"</f>
        <v>20,00</v>
      </c>
      <c r="BI155" s="27" t="str">
        <f>"2030-2032"</f>
        <v>2030-2032</v>
      </c>
      <c r="BJ155" s="27" t="str">
        <f t="shared" si="139"/>
        <v>нет</v>
      </c>
      <c r="BK155" s="27" t="str">
        <f>"x"</f>
        <v>x</v>
      </c>
      <c r="BL155" s="27" t="str">
        <f>"6,00"</f>
        <v>6,00</v>
      </c>
      <c r="BM155" s="27" t="str">
        <f>"2039-2041"</f>
        <v>2039-2041</v>
      </c>
      <c r="BN155" s="27" t="str">
        <f>"2010"</f>
        <v>2010</v>
      </c>
      <c r="BO155" s="27" t="str">
        <f>"8,00"</f>
        <v>8,00</v>
      </c>
      <c r="BP155" s="27" t="str">
        <f>"2040-2042"</f>
        <v>2040-2042</v>
      </c>
      <c r="BQ155" s="27" t="str">
        <f>"2010"</f>
        <v>2010</v>
      </c>
      <c r="BR155" s="27" t="str">
        <f>"6,00"</f>
        <v>6,00</v>
      </c>
      <c r="BS155" s="27" t="str">
        <f>"2039-2041"</f>
        <v>2039-2041</v>
      </c>
      <c r="BT155" s="11"/>
      <c r="BU155" s="11"/>
      <c r="BV155" s="11"/>
      <c r="BW155" s="11"/>
      <c r="BX155" s="11"/>
      <c r="BY155" s="11"/>
      <c r="BZ155" s="11"/>
      <c r="CA155" s="11"/>
      <c r="CB155" s="11"/>
      <c r="CC155" s="11"/>
      <c r="CD155" s="11"/>
      <c r="CE155" s="11"/>
      <c r="CF155" s="11"/>
      <c r="CG155" s="11"/>
      <c r="CH155" s="11"/>
      <c r="CI155" s="11"/>
      <c r="CJ155" s="11"/>
      <c r="CK155" s="11"/>
      <c r="CL155" s="11"/>
      <c r="CM155" s="11"/>
      <c r="CN155" s="11"/>
      <c r="CO155" s="11"/>
      <c r="CP155" s="11"/>
      <c r="CQ155" s="11"/>
      <c r="CR155" s="11"/>
      <c r="CS155" s="11"/>
      <c r="CT155" s="11"/>
      <c r="CU155" s="11"/>
      <c r="CV155" s="11"/>
      <c r="CW155" s="11"/>
      <c r="CX155" s="11"/>
      <c r="CY155" s="11"/>
      <c r="CZ155" s="11"/>
      <c r="DA155" s="11"/>
      <c r="DB155" s="11"/>
      <c r="DC155" s="11"/>
      <c r="DD155" s="11"/>
      <c r="DE155" s="11"/>
      <c r="DF155" s="11"/>
      <c r="DG155" s="11"/>
      <c r="DH155" s="11"/>
      <c r="DI155" s="11"/>
      <c r="DJ155" s="11"/>
      <c r="DK155" s="11"/>
      <c r="DL155" s="11"/>
      <c r="DM155" s="11"/>
      <c r="DN155" s="11"/>
      <c r="DO155" s="11"/>
    </row>
    <row r="156" spans="1:119" s="10" customFormat="1" ht="11.25" customHeight="1">
      <c r="A156" s="24" t="str">
        <f>"1.143"</f>
        <v>1.143</v>
      </c>
      <c r="B156" s="25" t="str">
        <f>"с. Никольский Торжок, ул.Захарьинская, д.13"</f>
        <v>с. Никольский Торжок, ул.Захарьинская, д.13</v>
      </c>
      <c r="C156" s="26" t="str">
        <f>"1966"</f>
        <v>1966</v>
      </c>
      <c r="D156" s="27" t="str">
        <f>""</f>
        <v/>
      </c>
      <c r="E156" s="27" t="str">
        <f>"50,00"</f>
        <v>50,00</v>
      </c>
      <c r="F156" s="27" t="str">
        <f>"2034-2036"</f>
        <v>2034-2036</v>
      </c>
      <c r="G156" s="27" t="str">
        <f>"нет"</f>
        <v>нет</v>
      </c>
      <c r="H156" s="27" t="str">
        <f>""</f>
        <v/>
      </c>
      <c r="I156" s="27" t="str">
        <f>""</f>
        <v/>
      </c>
      <c r="J156" s="27" t="str">
        <f>""</f>
        <v/>
      </c>
      <c r="K156" s="27" t="str">
        <f t="shared" si="128"/>
        <v>нет</v>
      </c>
      <c r="L156" s="27" t="str">
        <f>""</f>
        <v/>
      </c>
      <c r="M156" s="27" t="str">
        <f>""</f>
        <v/>
      </c>
      <c r="N156" s="27" t="str">
        <f>""</f>
        <v/>
      </c>
      <c r="O156" s="28" t="str">
        <f>""</f>
        <v/>
      </c>
      <c r="P156" s="27" t="str">
        <f>"90,00"</f>
        <v>90,00</v>
      </c>
      <c r="Q156" s="27" t="str">
        <f>"2024-2026"</f>
        <v>2024-2026</v>
      </c>
      <c r="R156" s="27" t="str">
        <f>"нет"</f>
        <v>нет</v>
      </c>
      <c r="S156" s="27" t="str">
        <f>""</f>
        <v/>
      </c>
      <c r="T156" s="27" t="str">
        <f>""</f>
        <v/>
      </c>
      <c r="U156" s="27">
        <v>2020</v>
      </c>
      <c r="V156" s="27" t="str">
        <f t="shared" si="129"/>
        <v>нет</v>
      </c>
      <c r="W156" s="27" t="str">
        <f>""</f>
        <v/>
      </c>
      <c r="X156" s="27" t="str">
        <f>""</f>
        <v/>
      </c>
      <c r="Y156" s="29" t="str">
        <f>""</f>
        <v/>
      </c>
      <c r="Z156" s="27" t="str">
        <f t="shared" si="138"/>
        <v>х</v>
      </c>
      <c r="AA156" s="27" t="str">
        <f t="shared" si="131"/>
        <v>х</v>
      </c>
      <c r="AB156" s="27" t="str">
        <f t="shared" si="131"/>
        <v>х</v>
      </c>
      <c r="AC156" s="27" t="str">
        <f t="shared" si="126"/>
        <v>нет</v>
      </c>
      <c r="AD156" s="27" t="str">
        <f t="shared" ref="AD156:AF161" si="145">"х"</f>
        <v>х</v>
      </c>
      <c r="AE156" s="27" t="str">
        <f t="shared" si="145"/>
        <v>х</v>
      </c>
      <c r="AF156" s="27" t="str">
        <f t="shared" si="145"/>
        <v>х</v>
      </c>
      <c r="AG156" s="27" t="str">
        <f t="shared" si="127"/>
        <v>нет</v>
      </c>
      <c r="AH156" s="27" t="str">
        <f t="shared" ref="AH156:AJ161" si="146">"х"</f>
        <v>х</v>
      </c>
      <c r="AI156" s="27" t="str">
        <f t="shared" si="146"/>
        <v>х</v>
      </c>
      <c r="AJ156" s="27" t="str">
        <f t="shared" si="146"/>
        <v>х</v>
      </c>
      <c r="AK156" s="28" t="str">
        <f>""</f>
        <v/>
      </c>
      <c r="AL156" s="27" t="str">
        <f>"90,00"</f>
        <v>90,00</v>
      </c>
      <c r="AM156" s="27" t="str">
        <f>"2021-2023"</f>
        <v>2021-2023</v>
      </c>
      <c r="AN156" s="30" t="str">
        <f>"нет"</f>
        <v>нет</v>
      </c>
      <c r="AO156" s="27" t="str">
        <f>""</f>
        <v/>
      </c>
      <c r="AP156" s="27" t="str">
        <f>""</f>
        <v/>
      </c>
      <c r="AQ156" s="27" t="str">
        <f>""</f>
        <v/>
      </c>
      <c r="AR156" s="27" t="str">
        <f t="shared" si="121"/>
        <v>нет</v>
      </c>
      <c r="AS156" s="27" t="str">
        <f>""</f>
        <v/>
      </c>
      <c r="AT156" s="27" t="str">
        <f>""</f>
        <v/>
      </c>
      <c r="AU156" s="27" t="str">
        <f>""</f>
        <v/>
      </c>
      <c r="AV156" s="27">
        <v>2015</v>
      </c>
      <c r="AW156" s="27"/>
      <c r="AX156" s="27"/>
      <c r="AY156" s="27" t="str">
        <f t="shared" si="122"/>
        <v>нет</v>
      </c>
      <c r="AZ156" s="27" t="str">
        <f>""</f>
        <v/>
      </c>
      <c r="BA156" s="27" t="str">
        <f>""</f>
        <v/>
      </c>
      <c r="BB156" s="27" t="str">
        <f>""</f>
        <v/>
      </c>
      <c r="BC156" s="27" t="str">
        <f t="shared" si="123"/>
        <v>нет</v>
      </c>
      <c r="BD156" s="27" t="str">
        <f>""</f>
        <v/>
      </c>
      <c r="BE156" s="27" t="str">
        <f>""</f>
        <v/>
      </c>
      <c r="BF156" s="27" t="str">
        <f>""</f>
        <v/>
      </c>
      <c r="BG156" s="27" t="str">
        <f>""</f>
        <v/>
      </c>
      <c r="BH156" s="27" t="str">
        <f>"60,00"</f>
        <v>60,00</v>
      </c>
      <c r="BI156" s="27" t="str">
        <f>"2020-2022"</f>
        <v>2020-2022</v>
      </c>
      <c r="BJ156" s="27" t="str">
        <f t="shared" si="139"/>
        <v>нет</v>
      </c>
      <c r="BK156" s="27" t="str">
        <f>"x"</f>
        <v>x</v>
      </c>
      <c r="BL156" s="27" t="str">
        <f>"60,00"</f>
        <v>60,00</v>
      </c>
      <c r="BM156" s="27" t="str">
        <f>"2019-2021"</f>
        <v>2019-2021</v>
      </c>
      <c r="BN156" s="27" t="str">
        <f>""</f>
        <v/>
      </c>
      <c r="BO156" s="27" t="str">
        <f>"60,00"</f>
        <v>60,00</v>
      </c>
      <c r="BP156" s="27" t="str">
        <f>"2027-2029"</f>
        <v>2027-2029</v>
      </c>
      <c r="BQ156" s="27" t="str">
        <f>""</f>
        <v/>
      </c>
      <c r="BR156" s="27" t="str">
        <f>"60,00"</f>
        <v>60,00</v>
      </c>
      <c r="BS156" s="27" t="str">
        <f>"2019-2021"</f>
        <v>2019-2021</v>
      </c>
      <c r="BT156" s="11"/>
      <c r="BU156" s="11"/>
      <c r="BV156" s="11"/>
      <c r="BW156" s="11"/>
      <c r="BX156" s="11"/>
      <c r="BY156" s="11"/>
      <c r="BZ156" s="11"/>
      <c r="CA156" s="11"/>
      <c r="CB156" s="11"/>
      <c r="CC156" s="11"/>
      <c r="CD156" s="11"/>
      <c r="CE156" s="11"/>
      <c r="CF156" s="11"/>
      <c r="CG156" s="11"/>
      <c r="CH156" s="11"/>
      <c r="CI156" s="11"/>
      <c r="CJ156" s="11"/>
      <c r="CK156" s="11"/>
      <c r="CL156" s="11"/>
      <c r="CM156" s="11"/>
      <c r="CN156" s="11"/>
      <c r="CO156" s="11"/>
      <c r="CP156" s="11"/>
      <c r="CQ156" s="11"/>
      <c r="CR156" s="11"/>
      <c r="CS156" s="11"/>
      <c r="CT156" s="11"/>
      <c r="CU156" s="11"/>
      <c r="CV156" s="11"/>
      <c r="CW156" s="11"/>
      <c r="CX156" s="11"/>
      <c r="CY156" s="11"/>
      <c r="CZ156" s="11"/>
      <c r="DA156" s="11"/>
      <c r="DB156" s="11"/>
      <c r="DC156" s="11"/>
      <c r="DD156" s="11"/>
      <c r="DE156" s="11"/>
      <c r="DF156" s="11"/>
      <c r="DG156" s="11"/>
      <c r="DH156" s="11"/>
      <c r="DI156" s="11"/>
      <c r="DJ156" s="11"/>
      <c r="DK156" s="11"/>
      <c r="DL156" s="11"/>
      <c r="DM156" s="11"/>
      <c r="DN156" s="11"/>
      <c r="DO156" s="11"/>
    </row>
    <row r="157" spans="1:119" s="10" customFormat="1" ht="11.25" customHeight="1">
      <c r="A157" s="24" t="str">
        <f>"1.144"</f>
        <v>1.144</v>
      </c>
      <c r="B157" s="25" t="str">
        <f>"с. Никольский Торжок, ул.Захарьинская, д.14"</f>
        <v>с. Никольский Торжок, ул.Захарьинская, д.14</v>
      </c>
      <c r="C157" s="26" t="str">
        <f>"1980"</f>
        <v>1980</v>
      </c>
      <c r="D157" s="27" t="str">
        <f>"2009"</f>
        <v>2009</v>
      </c>
      <c r="E157" s="27" t="str">
        <f>"20,00"</f>
        <v>20,00</v>
      </c>
      <c r="F157" s="27" t="str">
        <f>"2029-2031"</f>
        <v>2029-2031</v>
      </c>
      <c r="G157" s="27" t="str">
        <f>"да"</f>
        <v>да</v>
      </c>
      <c r="H157" s="27" t="str">
        <f>"2009"</f>
        <v>2009</v>
      </c>
      <c r="I157" s="27" t="str">
        <f>"25,00"</f>
        <v>25,00</v>
      </c>
      <c r="J157" s="27" t="str">
        <f>"2025-2027"</f>
        <v>2025-2027</v>
      </c>
      <c r="K157" s="27" t="str">
        <f t="shared" si="128"/>
        <v>нет</v>
      </c>
      <c r="L157" s="27" t="str">
        <f>""</f>
        <v/>
      </c>
      <c r="M157" s="27" t="str">
        <f>""</f>
        <v/>
      </c>
      <c r="N157" s="27" t="str">
        <f>""</f>
        <v/>
      </c>
      <c r="O157" s="28" t="str">
        <f>"2009"</f>
        <v>2009</v>
      </c>
      <c r="P157" s="27" t="str">
        <f>"16,00"</f>
        <v>16,00</v>
      </c>
      <c r="Q157" s="27" t="str">
        <f>"2034-2036"</f>
        <v>2034-2036</v>
      </c>
      <c r="R157" s="27" t="str">
        <f>"да"</f>
        <v>да</v>
      </c>
      <c r="S157" s="27" t="str">
        <f>"2009"</f>
        <v>2009</v>
      </c>
      <c r="T157" s="27" t="str">
        <f>"25,00"</f>
        <v>25,00</v>
      </c>
      <c r="U157" s="27" t="str">
        <f>"2025-2027"</f>
        <v>2025-2027</v>
      </c>
      <c r="V157" s="27" t="str">
        <f t="shared" si="129"/>
        <v>нет</v>
      </c>
      <c r="W157" s="27" t="str">
        <f>""</f>
        <v/>
      </c>
      <c r="X157" s="27" t="str">
        <f>""</f>
        <v/>
      </c>
      <c r="Y157" s="29" t="str">
        <f>""</f>
        <v/>
      </c>
      <c r="Z157" s="27" t="str">
        <f t="shared" si="138"/>
        <v>х</v>
      </c>
      <c r="AA157" s="27" t="str">
        <f t="shared" si="131"/>
        <v>х</v>
      </c>
      <c r="AB157" s="27" t="str">
        <f t="shared" si="131"/>
        <v>х</v>
      </c>
      <c r="AC157" s="27" t="str">
        <f t="shared" si="126"/>
        <v>нет</v>
      </c>
      <c r="AD157" s="27" t="str">
        <f t="shared" si="145"/>
        <v>х</v>
      </c>
      <c r="AE157" s="27" t="str">
        <f t="shared" si="145"/>
        <v>х</v>
      </c>
      <c r="AF157" s="27" t="str">
        <f t="shared" si="145"/>
        <v>х</v>
      </c>
      <c r="AG157" s="27" t="str">
        <f t="shared" si="127"/>
        <v>нет</v>
      </c>
      <c r="AH157" s="27" t="str">
        <f t="shared" si="146"/>
        <v>х</v>
      </c>
      <c r="AI157" s="27" t="str">
        <f t="shared" si="146"/>
        <v>х</v>
      </c>
      <c r="AJ157" s="27" t="str">
        <f t="shared" si="146"/>
        <v>х</v>
      </c>
      <c r="AK157" s="28" t="str">
        <f>"2009"</f>
        <v>2009</v>
      </c>
      <c r="AL157" s="27" t="str">
        <f>"13,00"</f>
        <v>13,00</v>
      </c>
      <c r="AM157" s="27" t="str">
        <f>"2039-2041"</f>
        <v>2039-2041</v>
      </c>
      <c r="AN157" s="30" t="str">
        <f>"да"</f>
        <v>да</v>
      </c>
      <c r="AO157" s="27">
        <v>2015</v>
      </c>
      <c r="AP157" s="27"/>
      <c r="AQ157" s="27"/>
      <c r="AR157" s="27" t="str">
        <f t="shared" si="121"/>
        <v>нет</v>
      </c>
      <c r="AS157" s="27" t="str">
        <f>""</f>
        <v/>
      </c>
      <c r="AT157" s="27" t="str">
        <f>""</f>
        <v/>
      </c>
      <c r="AU157" s="27" t="str">
        <f>""</f>
        <v/>
      </c>
      <c r="AV157" s="27" t="str">
        <f>"2009"</f>
        <v>2009</v>
      </c>
      <c r="AW157" s="27" t="str">
        <f>"8,00"</f>
        <v>8,00</v>
      </c>
      <c r="AX157" s="27" t="str">
        <f>"2045-2047"</f>
        <v>2045-2047</v>
      </c>
      <c r="AY157" s="27" t="str">
        <f t="shared" si="122"/>
        <v>нет</v>
      </c>
      <c r="AZ157" s="27" t="str">
        <f>""</f>
        <v/>
      </c>
      <c r="BA157" s="27" t="str">
        <f>""</f>
        <v/>
      </c>
      <c r="BB157" s="27" t="str">
        <f>""</f>
        <v/>
      </c>
      <c r="BC157" s="27" t="str">
        <f t="shared" si="123"/>
        <v>нет</v>
      </c>
      <c r="BD157" s="27" t="str">
        <f>""</f>
        <v/>
      </c>
      <c r="BE157" s="27" t="str">
        <f>""</f>
        <v/>
      </c>
      <c r="BF157" s="27" t="str">
        <f>""</f>
        <v/>
      </c>
      <c r="BG157" s="27" t="str">
        <f>"2009"</f>
        <v>2009</v>
      </c>
      <c r="BH157" s="27" t="str">
        <f>"27,00"</f>
        <v>27,00</v>
      </c>
      <c r="BI157" s="27" t="str">
        <f>"2032-2034"</f>
        <v>2032-2034</v>
      </c>
      <c r="BJ157" s="27" t="str">
        <f t="shared" si="139"/>
        <v>нет</v>
      </c>
      <c r="BK157" s="27" t="str">
        <f>"2009"</f>
        <v>2009</v>
      </c>
      <c r="BL157" s="27" t="str">
        <f>"8,00"</f>
        <v>8,00</v>
      </c>
      <c r="BM157" s="27" t="str">
        <f>"2045-2047"</f>
        <v>2045-2047</v>
      </c>
      <c r="BN157" s="27" t="str">
        <f>"2009"</f>
        <v>2009</v>
      </c>
      <c r="BO157" s="27" t="str">
        <f>"8,00"</f>
        <v>8,00</v>
      </c>
      <c r="BP157" s="27" t="str">
        <f>"2039-2041"</f>
        <v>2039-2041</v>
      </c>
      <c r="BQ157" s="27" t="str">
        <f>"2009"</f>
        <v>2009</v>
      </c>
      <c r="BR157" s="27" t="str">
        <f>"8,00"</f>
        <v>8,00</v>
      </c>
      <c r="BS157" s="27" t="str">
        <f>"2045-2047"</f>
        <v>2045-2047</v>
      </c>
      <c r="BT157" s="11"/>
      <c r="BU157" s="11"/>
      <c r="BV157" s="11"/>
      <c r="BW157" s="11"/>
      <c r="BX157" s="11"/>
      <c r="BY157" s="11"/>
      <c r="BZ157" s="11"/>
      <c r="CA157" s="11"/>
      <c r="CB157" s="11"/>
      <c r="CC157" s="11"/>
      <c r="CD157" s="11"/>
      <c r="CE157" s="11"/>
      <c r="CF157" s="11"/>
      <c r="CG157" s="11"/>
      <c r="CH157" s="11"/>
      <c r="CI157" s="11"/>
      <c r="CJ157" s="11"/>
      <c r="CK157" s="11"/>
      <c r="CL157" s="11"/>
      <c r="CM157" s="11"/>
      <c r="CN157" s="11"/>
      <c r="CO157" s="11"/>
      <c r="CP157" s="11"/>
      <c r="CQ157" s="11"/>
      <c r="CR157" s="11"/>
      <c r="CS157" s="11"/>
      <c r="CT157" s="11"/>
      <c r="CU157" s="11"/>
      <c r="CV157" s="11"/>
      <c r="CW157" s="11"/>
      <c r="CX157" s="11"/>
      <c r="CY157" s="11"/>
      <c r="CZ157" s="11"/>
      <c r="DA157" s="11"/>
      <c r="DB157" s="11"/>
      <c r="DC157" s="11"/>
      <c r="DD157" s="11"/>
      <c r="DE157" s="11"/>
      <c r="DF157" s="11"/>
      <c r="DG157" s="11"/>
      <c r="DH157" s="11"/>
      <c r="DI157" s="11"/>
      <c r="DJ157" s="11"/>
      <c r="DK157" s="11"/>
      <c r="DL157" s="11"/>
      <c r="DM157" s="11"/>
      <c r="DN157" s="11"/>
      <c r="DO157" s="11"/>
    </row>
    <row r="158" spans="1:119" s="10" customFormat="1" ht="11.25" customHeight="1">
      <c r="A158" s="24" t="str">
        <f>"1.145"</f>
        <v>1.145</v>
      </c>
      <c r="B158" s="25" t="str">
        <f>"с. Талицы, ул. Чучина, д.19"</f>
        <v>с. Талицы, ул. Чучина, д.19</v>
      </c>
      <c r="C158" s="26" t="str">
        <f>"1976"</f>
        <v>1976</v>
      </c>
      <c r="D158" s="27" t="str">
        <f>"2009"</f>
        <v>2009</v>
      </c>
      <c r="E158" s="27" t="str">
        <f>"20,00"</f>
        <v>20,00</v>
      </c>
      <c r="F158" s="27" t="str">
        <f>"2029-2031"</f>
        <v>2029-2031</v>
      </c>
      <c r="G158" s="27" t="str">
        <f>"да"</f>
        <v>да</v>
      </c>
      <c r="H158" s="27" t="str">
        <f>"2009"</f>
        <v>2009</v>
      </c>
      <c r="I158" s="27" t="str">
        <f>"25,00"</f>
        <v>25,00</v>
      </c>
      <c r="J158" s="27" t="str">
        <f>"2025-2027"</f>
        <v>2025-2027</v>
      </c>
      <c r="K158" s="27" t="str">
        <f t="shared" si="128"/>
        <v>нет</v>
      </c>
      <c r="L158" s="27" t="str">
        <f>""</f>
        <v/>
      </c>
      <c r="M158" s="27" t="str">
        <f>""</f>
        <v/>
      </c>
      <c r="N158" s="27" t="str">
        <f>""</f>
        <v/>
      </c>
      <c r="O158" s="28" t="str">
        <f>"2009"</f>
        <v>2009</v>
      </c>
      <c r="P158" s="27" t="str">
        <f>"20,00"</f>
        <v>20,00</v>
      </c>
      <c r="Q158" s="27" t="str">
        <f>"2038-2040"</f>
        <v>2038-2040</v>
      </c>
      <c r="R158" s="27" t="str">
        <f>"да"</f>
        <v>да</v>
      </c>
      <c r="S158" s="27" t="str">
        <f>"2009"</f>
        <v>2009</v>
      </c>
      <c r="T158" s="27" t="str">
        <f>"25,00"</f>
        <v>25,00</v>
      </c>
      <c r="U158" s="27" t="str">
        <f>"2015-2017"</f>
        <v>2015-2017</v>
      </c>
      <c r="V158" s="27" t="str">
        <f t="shared" si="129"/>
        <v>нет</v>
      </c>
      <c r="W158" s="27" t="str">
        <f>""</f>
        <v/>
      </c>
      <c r="X158" s="27" t="str">
        <f>""</f>
        <v/>
      </c>
      <c r="Y158" s="29" t="str">
        <f>""</f>
        <v/>
      </c>
      <c r="Z158" s="27" t="str">
        <f t="shared" si="138"/>
        <v>х</v>
      </c>
      <c r="AA158" s="27" t="str">
        <f t="shared" si="131"/>
        <v>х</v>
      </c>
      <c r="AB158" s="27" t="str">
        <f t="shared" si="131"/>
        <v>х</v>
      </c>
      <c r="AC158" s="27" t="str">
        <f t="shared" si="126"/>
        <v>нет</v>
      </c>
      <c r="AD158" s="27" t="str">
        <f t="shared" si="145"/>
        <v>х</v>
      </c>
      <c r="AE158" s="27" t="str">
        <f t="shared" si="145"/>
        <v>х</v>
      </c>
      <c r="AF158" s="27" t="str">
        <f t="shared" si="145"/>
        <v>х</v>
      </c>
      <c r="AG158" s="27" t="str">
        <f t="shared" si="127"/>
        <v>нет</v>
      </c>
      <c r="AH158" s="27" t="str">
        <f t="shared" si="146"/>
        <v>х</v>
      </c>
      <c r="AI158" s="27" t="str">
        <f t="shared" si="146"/>
        <v>х</v>
      </c>
      <c r="AJ158" s="27" t="str">
        <f t="shared" si="146"/>
        <v>х</v>
      </c>
      <c r="AK158" s="28" t="str">
        <f>"2009"</f>
        <v>2009</v>
      </c>
      <c r="AL158" s="27" t="str">
        <f>"20,00"</f>
        <v>20,00</v>
      </c>
      <c r="AM158" s="27" t="str">
        <f>"2043-2045"</f>
        <v>2043-2045</v>
      </c>
      <c r="AN158" s="30" t="str">
        <f>"нет"</f>
        <v>нет</v>
      </c>
      <c r="AO158" s="27" t="str">
        <f>""</f>
        <v/>
      </c>
      <c r="AP158" s="27" t="str">
        <f>""</f>
        <v/>
      </c>
      <c r="AQ158" s="27" t="str">
        <f>""</f>
        <v/>
      </c>
      <c r="AR158" s="27" t="str">
        <f t="shared" si="121"/>
        <v>нет</v>
      </c>
      <c r="AS158" s="27" t="str">
        <f>""</f>
        <v/>
      </c>
      <c r="AT158" s="27" t="str">
        <f>""</f>
        <v/>
      </c>
      <c r="AU158" s="27" t="str">
        <f>""</f>
        <v/>
      </c>
      <c r="AV158" s="27" t="str">
        <f>"2009"</f>
        <v>2009</v>
      </c>
      <c r="AW158" s="27" t="str">
        <f>"20,00"</f>
        <v>20,00</v>
      </c>
      <c r="AX158" s="27" t="str">
        <f>"2045-2047"</f>
        <v>2045-2047</v>
      </c>
      <c r="AY158" s="27" t="str">
        <f t="shared" si="122"/>
        <v>нет</v>
      </c>
      <c r="AZ158" s="27" t="str">
        <f>""</f>
        <v/>
      </c>
      <c r="BA158" s="27" t="str">
        <f>""</f>
        <v/>
      </c>
      <c r="BB158" s="27" t="str">
        <f>""</f>
        <v/>
      </c>
      <c r="BC158" s="27" t="str">
        <f t="shared" si="123"/>
        <v>нет</v>
      </c>
      <c r="BD158" s="27" t="str">
        <f>""</f>
        <v/>
      </c>
      <c r="BE158" s="27" t="str">
        <f>""</f>
        <v/>
      </c>
      <c r="BF158" s="27" t="str">
        <f>""</f>
        <v/>
      </c>
      <c r="BG158" s="27" t="str">
        <f>"2009"</f>
        <v>2009</v>
      </c>
      <c r="BH158" s="27" t="str">
        <f>"20,00"</f>
        <v>20,00</v>
      </c>
      <c r="BI158" s="27" t="str">
        <f>"2032-2034"</f>
        <v>2032-2034</v>
      </c>
      <c r="BJ158" s="27" t="str">
        <f t="shared" si="139"/>
        <v>нет</v>
      </c>
      <c r="BK158" s="27" t="str">
        <f>"x"</f>
        <v>x</v>
      </c>
      <c r="BL158" s="27" t="str">
        <f>"x"</f>
        <v>x</v>
      </c>
      <c r="BM158" s="27" t="str">
        <f>"2045-2047"</f>
        <v>2045-2047</v>
      </c>
      <c r="BN158" s="27" t="str">
        <f>"2009"</f>
        <v>2009</v>
      </c>
      <c r="BO158" s="27" t="str">
        <f>"20,00"</f>
        <v>20,00</v>
      </c>
      <c r="BP158" s="27" t="str">
        <f>"2039-2041"</f>
        <v>2039-2041</v>
      </c>
      <c r="BQ158" s="27" t="str">
        <f>"2009"</f>
        <v>2009</v>
      </c>
      <c r="BR158" s="27" t="str">
        <f>"20,00"</f>
        <v>20,00</v>
      </c>
      <c r="BS158" s="27" t="str">
        <f>"2045-2047"</f>
        <v>2045-2047</v>
      </c>
      <c r="BT158" s="11"/>
      <c r="BU158" s="11"/>
      <c r="BV158" s="11"/>
      <c r="BW158" s="11"/>
      <c r="BX158" s="11"/>
      <c r="BY158" s="11"/>
      <c r="BZ158" s="11"/>
      <c r="CA158" s="11"/>
      <c r="CB158" s="11"/>
      <c r="CC158" s="11"/>
      <c r="CD158" s="11"/>
      <c r="CE158" s="11"/>
      <c r="CF158" s="11"/>
      <c r="CG158" s="11"/>
      <c r="CH158" s="11"/>
      <c r="CI158" s="11"/>
      <c r="CJ158" s="11"/>
      <c r="CK158" s="11"/>
      <c r="CL158" s="11"/>
      <c r="CM158" s="11"/>
      <c r="CN158" s="11"/>
      <c r="CO158" s="11"/>
      <c r="CP158" s="11"/>
      <c r="CQ158" s="11"/>
      <c r="CR158" s="11"/>
      <c r="CS158" s="11"/>
      <c r="CT158" s="11"/>
      <c r="CU158" s="11"/>
      <c r="CV158" s="11"/>
      <c r="CW158" s="11"/>
      <c r="CX158" s="11"/>
      <c r="CY158" s="11"/>
      <c r="CZ158" s="11"/>
      <c r="DA158" s="11"/>
      <c r="DB158" s="11"/>
      <c r="DC158" s="11"/>
      <c r="DD158" s="11"/>
      <c r="DE158" s="11"/>
      <c r="DF158" s="11"/>
      <c r="DG158" s="11"/>
      <c r="DH158" s="11"/>
      <c r="DI158" s="11"/>
      <c r="DJ158" s="11"/>
      <c r="DK158" s="11"/>
      <c r="DL158" s="11"/>
      <c r="DM158" s="11"/>
      <c r="DN158" s="11"/>
      <c r="DO158" s="11"/>
    </row>
    <row r="159" spans="1:119" s="10" customFormat="1" ht="11.25" customHeight="1">
      <c r="A159" s="24" t="str">
        <f>"1.146"</f>
        <v>1.146</v>
      </c>
      <c r="B159" s="25" t="str">
        <f>"с. Талицы, ул. Чучина, д.21"</f>
        <v>с. Талицы, ул. Чучина, д.21</v>
      </c>
      <c r="C159" s="26" t="str">
        <f>"1976"</f>
        <v>1976</v>
      </c>
      <c r="D159" s="27" t="str">
        <f>"2008"</f>
        <v>2008</v>
      </c>
      <c r="E159" s="27" t="str">
        <f>"20,00"</f>
        <v>20,00</v>
      </c>
      <c r="F159" s="27" t="str">
        <f>"2028-2030"</f>
        <v>2028-2030</v>
      </c>
      <c r="G159" s="27" t="str">
        <f>"да"</f>
        <v>да</v>
      </c>
      <c r="H159" s="27" t="str">
        <f>"2008"</f>
        <v>2008</v>
      </c>
      <c r="I159" s="27" t="str">
        <f>"31,00"</f>
        <v>31,00</v>
      </c>
      <c r="J159" s="27" t="str">
        <f>"2022-2024"</f>
        <v>2022-2024</v>
      </c>
      <c r="K159" s="27" t="str">
        <f t="shared" si="128"/>
        <v>нет</v>
      </c>
      <c r="L159" s="27" t="str">
        <f>""</f>
        <v/>
      </c>
      <c r="M159" s="27" t="str">
        <f>""</f>
        <v/>
      </c>
      <c r="N159" s="27" t="str">
        <f>""</f>
        <v/>
      </c>
      <c r="O159" s="28" t="str">
        <f>"2008"</f>
        <v>2008</v>
      </c>
      <c r="P159" s="27" t="str">
        <f>"20,00"</f>
        <v>20,00</v>
      </c>
      <c r="Q159" s="27" t="str">
        <f>"2033-2035"</f>
        <v>2033-2035</v>
      </c>
      <c r="R159" s="27" t="str">
        <f>"да"</f>
        <v>да</v>
      </c>
      <c r="S159" s="27" t="str">
        <f>"2008"</f>
        <v>2008</v>
      </c>
      <c r="T159" s="27" t="str">
        <f>"31,00"</f>
        <v>31,00</v>
      </c>
      <c r="U159" s="27" t="str">
        <f>"2022-2024"</f>
        <v>2022-2024</v>
      </c>
      <c r="V159" s="27" t="str">
        <f t="shared" si="129"/>
        <v>нет</v>
      </c>
      <c r="W159" s="27" t="str">
        <f>""</f>
        <v/>
      </c>
      <c r="X159" s="27" t="str">
        <f>""</f>
        <v/>
      </c>
      <c r="Y159" s="29" t="str">
        <f>""</f>
        <v/>
      </c>
      <c r="Z159" s="27" t="str">
        <f t="shared" si="138"/>
        <v>х</v>
      </c>
      <c r="AA159" s="27" t="str">
        <f t="shared" si="131"/>
        <v>х</v>
      </c>
      <c r="AB159" s="27" t="str">
        <f t="shared" si="131"/>
        <v>х</v>
      </c>
      <c r="AC159" s="27" t="str">
        <f t="shared" si="126"/>
        <v>нет</v>
      </c>
      <c r="AD159" s="27" t="str">
        <f t="shared" si="145"/>
        <v>х</v>
      </c>
      <c r="AE159" s="27" t="str">
        <f t="shared" si="145"/>
        <v>х</v>
      </c>
      <c r="AF159" s="27" t="str">
        <f t="shared" si="145"/>
        <v>х</v>
      </c>
      <c r="AG159" s="27" t="str">
        <f t="shared" si="127"/>
        <v>нет</v>
      </c>
      <c r="AH159" s="27" t="str">
        <f t="shared" si="146"/>
        <v>х</v>
      </c>
      <c r="AI159" s="27" t="str">
        <f t="shared" si="146"/>
        <v>х</v>
      </c>
      <c r="AJ159" s="27" t="str">
        <f t="shared" si="146"/>
        <v>х</v>
      </c>
      <c r="AK159" s="28" t="str">
        <f>"2008"</f>
        <v>2008</v>
      </c>
      <c r="AL159" s="27" t="str">
        <f>"20,00"</f>
        <v>20,00</v>
      </c>
      <c r="AM159" s="27" t="str">
        <f>"2038-2040"</f>
        <v>2038-2040</v>
      </c>
      <c r="AN159" s="30" t="str">
        <f>"нет"</f>
        <v>нет</v>
      </c>
      <c r="AO159" s="27" t="str">
        <f>""</f>
        <v/>
      </c>
      <c r="AP159" s="27" t="str">
        <f>""</f>
        <v/>
      </c>
      <c r="AQ159" s="27" t="str">
        <f>""</f>
        <v/>
      </c>
      <c r="AR159" s="27" t="str">
        <f t="shared" si="121"/>
        <v>нет</v>
      </c>
      <c r="AS159" s="27" t="str">
        <f>""</f>
        <v/>
      </c>
      <c r="AT159" s="27" t="str">
        <f>""</f>
        <v/>
      </c>
      <c r="AU159" s="27" t="str">
        <f>""</f>
        <v/>
      </c>
      <c r="AV159" s="27" t="str">
        <f>"2008"</f>
        <v>2008</v>
      </c>
      <c r="AW159" s="27" t="str">
        <f>"10,00"</f>
        <v>10,00</v>
      </c>
      <c r="AX159" s="27" t="str">
        <f>"2045-2047"</f>
        <v>2045-2047</v>
      </c>
      <c r="AY159" s="27" t="str">
        <f t="shared" si="122"/>
        <v>нет</v>
      </c>
      <c r="AZ159" s="27" t="str">
        <f>""</f>
        <v/>
      </c>
      <c r="BA159" s="27" t="str">
        <f>""</f>
        <v/>
      </c>
      <c r="BB159" s="27" t="str">
        <f>""</f>
        <v/>
      </c>
      <c r="BC159" s="27" t="str">
        <f t="shared" si="123"/>
        <v>нет</v>
      </c>
      <c r="BD159" s="27" t="str">
        <f>""</f>
        <v/>
      </c>
      <c r="BE159" s="27" t="str">
        <f>""</f>
        <v/>
      </c>
      <c r="BF159" s="27" t="str">
        <f>""</f>
        <v/>
      </c>
      <c r="BG159" s="27" t="str">
        <f>"2008"</f>
        <v>2008</v>
      </c>
      <c r="BH159" s="27" t="str">
        <f>"20,00"</f>
        <v>20,00</v>
      </c>
      <c r="BI159" s="27" t="str">
        <f>"2035-2037"</f>
        <v>2035-2037</v>
      </c>
      <c r="BJ159" s="27" t="str">
        <f t="shared" si="139"/>
        <v>нет</v>
      </c>
      <c r="BK159" s="27" t="str">
        <f>"x"</f>
        <v>x</v>
      </c>
      <c r="BL159" s="27" t="str">
        <f>"20,00"</f>
        <v>20,00</v>
      </c>
      <c r="BM159" s="27" t="str">
        <f>"2045-2047"</f>
        <v>2045-2047</v>
      </c>
      <c r="BN159" s="27" t="str">
        <f>"2008"</f>
        <v>2008</v>
      </c>
      <c r="BO159" s="27" t="str">
        <f>"20,00"</f>
        <v>20,00</v>
      </c>
      <c r="BP159" s="27" t="str">
        <f>"2038-2040"</f>
        <v>2038-2040</v>
      </c>
      <c r="BQ159" s="27" t="str">
        <f>"2008"</f>
        <v>2008</v>
      </c>
      <c r="BR159" s="27" t="str">
        <f>"20,00"</f>
        <v>20,00</v>
      </c>
      <c r="BS159" s="27" t="str">
        <f>"2045-2047"</f>
        <v>2045-2047</v>
      </c>
      <c r="BT159" s="11"/>
      <c r="BU159" s="11"/>
      <c r="BV159" s="11"/>
      <c r="BW159" s="11"/>
      <c r="BX159" s="11"/>
      <c r="BY159" s="11"/>
      <c r="BZ159" s="11"/>
      <c r="CA159" s="11"/>
      <c r="CB159" s="11"/>
      <c r="CC159" s="11"/>
      <c r="CD159" s="11"/>
      <c r="CE159" s="11"/>
      <c r="CF159" s="11"/>
      <c r="CG159" s="11"/>
      <c r="CH159" s="11"/>
      <c r="CI159" s="11"/>
      <c r="CJ159" s="11"/>
      <c r="CK159" s="11"/>
      <c r="CL159" s="11"/>
      <c r="CM159" s="11"/>
      <c r="CN159" s="11"/>
      <c r="CO159" s="11"/>
      <c r="CP159" s="11"/>
      <c r="CQ159" s="11"/>
      <c r="CR159" s="11"/>
      <c r="CS159" s="11"/>
      <c r="CT159" s="11"/>
      <c r="CU159" s="11"/>
      <c r="CV159" s="11"/>
      <c r="CW159" s="11"/>
      <c r="CX159" s="11"/>
      <c r="CY159" s="11"/>
      <c r="CZ159" s="11"/>
      <c r="DA159" s="11"/>
      <c r="DB159" s="11"/>
      <c r="DC159" s="11"/>
      <c r="DD159" s="11"/>
      <c r="DE159" s="11"/>
      <c r="DF159" s="11"/>
      <c r="DG159" s="11"/>
      <c r="DH159" s="11"/>
      <c r="DI159" s="11"/>
      <c r="DJ159" s="11"/>
      <c r="DK159" s="11"/>
      <c r="DL159" s="11"/>
      <c r="DM159" s="11"/>
      <c r="DN159" s="11"/>
      <c r="DO159" s="11"/>
    </row>
    <row r="160" spans="1:119" s="10" customFormat="1" ht="11.25" customHeight="1">
      <c r="A160" s="24" t="str">
        <f>"1.147"</f>
        <v>1.147</v>
      </c>
      <c r="B160" s="25" t="str">
        <f>"с. Чарозеро, ул. Майская, д.7"</f>
        <v>с. Чарозеро, ул. Майская, д.7</v>
      </c>
      <c r="C160" s="26" t="str">
        <f>"1986"</f>
        <v>1986</v>
      </c>
      <c r="D160" s="27" t="str">
        <f>"2009"</f>
        <v>2009</v>
      </c>
      <c r="E160" s="27" t="str">
        <f>"13,00"</f>
        <v>13,00</v>
      </c>
      <c r="F160" s="27" t="str">
        <f>"2029-2031"</f>
        <v>2029-2031</v>
      </c>
      <c r="G160" s="27" t="str">
        <f>"да"</f>
        <v>да</v>
      </c>
      <c r="H160" s="27" t="str">
        <f>"2009"</f>
        <v>2009</v>
      </c>
      <c r="I160" s="27" t="str">
        <f>"25,00"</f>
        <v>25,00</v>
      </c>
      <c r="J160" s="27" t="str">
        <f>"2025-2027"</f>
        <v>2025-2027</v>
      </c>
      <c r="K160" s="27" t="str">
        <f t="shared" si="128"/>
        <v>нет</v>
      </c>
      <c r="L160" s="27" t="str">
        <f>""</f>
        <v/>
      </c>
      <c r="M160" s="27" t="str">
        <f>""</f>
        <v/>
      </c>
      <c r="N160" s="27" t="str">
        <f>""</f>
        <v/>
      </c>
      <c r="O160" s="28" t="str">
        <f>"2009"</f>
        <v>2009</v>
      </c>
      <c r="P160" s="27" t="str">
        <f>"10,00"</f>
        <v>10,00</v>
      </c>
      <c r="Q160" s="27" t="str">
        <f>"2038-2040"</f>
        <v>2038-2040</v>
      </c>
      <c r="R160" s="27" t="str">
        <f>"да"</f>
        <v>да</v>
      </c>
      <c r="S160" s="27" t="str">
        <f>"2009"</f>
        <v>2009</v>
      </c>
      <c r="T160" s="27" t="str">
        <f>"25,00"</f>
        <v>25,00</v>
      </c>
      <c r="U160" s="27" t="str">
        <f>"2025-2027"</f>
        <v>2025-2027</v>
      </c>
      <c r="V160" s="27" t="str">
        <f t="shared" si="129"/>
        <v>нет</v>
      </c>
      <c r="W160" s="27" t="str">
        <f>""</f>
        <v/>
      </c>
      <c r="X160" s="27" t="str">
        <f>""</f>
        <v/>
      </c>
      <c r="Y160" s="29" t="str">
        <f>""</f>
        <v/>
      </c>
      <c r="Z160" s="27" t="str">
        <f t="shared" si="138"/>
        <v>х</v>
      </c>
      <c r="AA160" s="27" t="str">
        <f t="shared" si="131"/>
        <v>х</v>
      </c>
      <c r="AB160" s="27" t="str">
        <f t="shared" si="131"/>
        <v>х</v>
      </c>
      <c r="AC160" s="27" t="str">
        <f t="shared" si="126"/>
        <v>нет</v>
      </c>
      <c r="AD160" s="27" t="str">
        <f t="shared" si="145"/>
        <v>х</v>
      </c>
      <c r="AE160" s="27" t="str">
        <f t="shared" si="145"/>
        <v>х</v>
      </c>
      <c r="AF160" s="27" t="str">
        <f t="shared" si="145"/>
        <v>х</v>
      </c>
      <c r="AG160" s="27" t="str">
        <f t="shared" si="127"/>
        <v>нет</v>
      </c>
      <c r="AH160" s="27" t="str">
        <f t="shared" si="146"/>
        <v>х</v>
      </c>
      <c r="AI160" s="27" t="str">
        <f t="shared" si="146"/>
        <v>х</v>
      </c>
      <c r="AJ160" s="27" t="str">
        <f t="shared" si="146"/>
        <v>х</v>
      </c>
      <c r="AK160" s="28" t="str">
        <f>"2009"</f>
        <v>2009</v>
      </c>
      <c r="AL160" s="27" t="str">
        <f>"16,00"</f>
        <v>16,00</v>
      </c>
      <c r="AM160" s="27" t="str">
        <f>"2043-2045"</f>
        <v>2043-2045</v>
      </c>
      <c r="AN160" s="30" t="str">
        <f>"да"</f>
        <v>да</v>
      </c>
      <c r="AO160" s="27" t="str">
        <f>"2009"</f>
        <v>2009</v>
      </c>
      <c r="AP160" s="27" t="str">
        <f>"60,00"</f>
        <v>60,00</v>
      </c>
      <c r="AQ160" s="27" t="str">
        <f>"2015-2017"</f>
        <v>2015-2017</v>
      </c>
      <c r="AR160" s="27" t="str">
        <f t="shared" si="121"/>
        <v>нет</v>
      </c>
      <c r="AS160" s="27" t="str">
        <f>""</f>
        <v/>
      </c>
      <c r="AT160" s="27" t="str">
        <f>""</f>
        <v/>
      </c>
      <c r="AU160" s="27" t="str">
        <f>""</f>
        <v/>
      </c>
      <c r="AV160" s="27" t="str">
        <f>"2009"</f>
        <v>2009</v>
      </c>
      <c r="AW160" s="27" t="str">
        <f>"16,00"</f>
        <v>16,00</v>
      </c>
      <c r="AX160" s="27" t="str">
        <f>"2045-2047"</f>
        <v>2045-2047</v>
      </c>
      <c r="AY160" s="27" t="str">
        <f t="shared" si="122"/>
        <v>нет</v>
      </c>
      <c r="AZ160" s="27" t="str">
        <f>""</f>
        <v/>
      </c>
      <c r="BA160" s="27" t="str">
        <f>""</f>
        <v/>
      </c>
      <c r="BB160" s="27" t="str">
        <f>""</f>
        <v/>
      </c>
      <c r="BC160" s="27" t="str">
        <f t="shared" si="123"/>
        <v>нет</v>
      </c>
      <c r="BD160" s="27" t="str">
        <f>""</f>
        <v/>
      </c>
      <c r="BE160" s="27" t="str">
        <f>""</f>
        <v/>
      </c>
      <c r="BF160" s="27" t="str">
        <f>""</f>
        <v/>
      </c>
      <c r="BG160" s="27" t="str">
        <f>"2009"</f>
        <v>2009</v>
      </c>
      <c r="BH160" s="27" t="str">
        <f>"10,00"</f>
        <v>10,00</v>
      </c>
      <c r="BI160" s="27" t="str">
        <f>"2031-2033"</f>
        <v>2031-2033</v>
      </c>
      <c r="BJ160" s="27" t="str">
        <f t="shared" si="139"/>
        <v>нет</v>
      </c>
      <c r="BK160" s="27" t="str">
        <f>"2009"</f>
        <v>2009</v>
      </c>
      <c r="BL160" s="27" t="str">
        <f>"7,00"</f>
        <v>7,00</v>
      </c>
      <c r="BM160" s="27" t="str">
        <f>"2045-2047"</f>
        <v>2045-2047</v>
      </c>
      <c r="BN160" s="27" t="str">
        <f>"2009"</f>
        <v>2009</v>
      </c>
      <c r="BO160" s="27" t="str">
        <f>"6,00"</f>
        <v>6,00</v>
      </c>
      <c r="BP160" s="27" t="str">
        <f>"2039-2041"</f>
        <v>2039-2041</v>
      </c>
      <c r="BQ160" s="27" t="str">
        <f>"2009"</f>
        <v>2009</v>
      </c>
      <c r="BR160" s="27" t="str">
        <f>"7,00"</f>
        <v>7,00</v>
      </c>
      <c r="BS160" s="27" t="str">
        <f>"2045-2047"</f>
        <v>2045-2047</v>
      </c>
      <c r="BT160" s="11"/>
      <c r="BU160" s="11"/>
      <c r="BV160" s="11"/>
      <c r="BW160" s="11"/>
      <c r="BX160" s="11"/>
      <c r="BY160" s="11"/>
      <c r="BZ160" s="11"/>
      <c r="CA160" s="11"/>
      <c r="CB160" s="11"/>
      <c r="CC160" s="11"/>
      <c r="CD160" s="11"/>
      <c r="CE160" s="11"/>
      <c r="CF160" s="11"/>
      <c r="CG160" s="11"/>
      <c r="CH160" s="11"/>
      <c r="CI160" s="11"/>
      <c r="CJ160" s="11"/>
      <c r="CK160" s="11"/>
      <c r="CL160" s="11"/>
      <c r="CM160" s="11"/>
      <c r="CN160" s="11"/>
      <c r="CO160" s="11"/>
      <c r="CP160" s="11"/>
      <c r="CQ160" s="11"/>
      <c r="CR160" s="11"/>
      <c r="CS160" s="11"/>
      <c r="CT160" s="11"/>
      <c r="CU160" s="11"/>
      <c r="CV160" s="11"/>
      <c r="CW160" s="11"/>
      <c r="CX160" s="11"/>
      <c r="CY160" s="11"/>
      <c r="CZ160" s="11"/>
      <c r="DA160" s="11"/>
      <c r="DB160" s="11"/>
      <c r="DC160" s="11"/>
      <c r="DD160" s="11"/>
      <c r="DE160" s="11"/>
      <c r="DF160" s="11"/>
      <c r="DG160" s="11"/>
      <c r="DH160" s="11"/>
      <c r="DI160" s="11"/>
      <c r="DJ160" s="11"/>
      <c r="DK160" s="11"/>
      <c r="DL160" s="11"/>
      <c r="DM160" s="11"/>
      <c r="DN160" s="11"/>
      <c r="DO160" s="11"/>
    </row>
    <row r="161" spans="1:119" s="9" customFormat="1" ht="11.25" customHeight="1">
      <c r="A161" s="24" t="str">
        <f>"1.148"</f>
        <v>1.148</v>
      </c>
      <c r="B161" s="25" t="str">
        <f>"ул. Граве, д.11"</f>
        <v>ул. Граве, д.11</v>
      </c>
      <c r="C161" s="26" t="str">
        <f>"1992"</f>
        <v>1992</v>
      </c>
      <c r="D161" s="27" t="str">
        <f>""</f>
        <v/>
      </c>
      <c r="E161" s="27" t="str">
        <f>""</f>
        <v/>
      </c>
      <c r="F161" s="27" t="str">
        <f>"2023-2025"</f>
        <v>2023-2025</v>
      </c>
      <c r="G161" s="27" t="str">
        <f>""</f>
        <v/>
      </c>
      <c r="H161" s="27" t="str">
        <f>""</f>
        <v/>
      </c>
      <c r="I161" s="27" t="str">
        <f>""</f>
        <v/>
      </c>
      <c r="J161" s="27" t="str">
        <f>"2028-2030"</f>
        <v>2028-2030</v>
      </c>
      <c r="K161" s="27" t="str">
        <f>""</f>
        <v/>
      </c>
      <c r="L161" s="27" t="str">
        <f>""</f>
        <v/>
      </c>
      <c r="M161" s="27" t="str">
        <f>""</f>
        <v/>
      </c>
      <c r="N161" s="27" t="str">
        <f>""</f>
        <v/>
      </c>
      <c r="O161" s="28" t="str">
        <f>""</f>
        <v/>
      </c>
      <c r="P161" s="27" t="str">
        <f>""</f>
        <v/>
      </c>
      <c r="Q161" s="27" t="str">
        <f>"2025-2027"</f>
        <v>2025-2027</v>
      </c>
      <c r="R161" s="27" t="str">
        <f>""</f>
        <v/>
      </c>
      <c r="S161" s="27" t="str">
        <f>""</f>
        <v/>
      </c>
      <c r="T161" s="27" t="str">
        <f>""</f>
        <v/>
      </c>
      <c r="U161" s="27" t="str">
        <f>"2024-2026"</f>
        <v>2024-2026</v>
      </c>
      <c r="V161" s="27" t="str">
        <f>""</f>
        <v/>
      </c>
      <c r="W161" s="27" t="str">
        <f>""</f>
        <v/>
      </c>
      <c r="X161" s="27" t="str">
        <f>""</f>
        <v/>
      </c>
      <c r="Y161" s="29" t="str">
        <f>""</f>
        <v/>
      </c>
      <c r="Z161" s="27" t="str">
        <f t="shared" si="138"/>
        <v>х</v>
      </c>
      <c r="AA161" s="27" t="str">
        <f t="shared" si="131"/>
        <v>х</v>
      </c>
      <c r="AB161" s="27" t="str">
        <f t="shared" si="131"/>
        <v>х</v>
      </c>
      <c r="AC161" s="27" t="str">
        <f>"х"</f>
        <v>х</v>
      </c>
      <c r="AD161" s="27" t="str">
        <f t="shared" si="145"/>
        <v>х</v>
      </c>
      <c r="AE161" s="27" t="str">
        <f t="shared" si="145"/>
        <v>х</v>
      </c>
      <c r="AF161" s="27" t="str">
        <f t="shared" si="145"/>
        <v>х</v>
      </c>
      <c r="AG161" s="27" t="str">
        <f>"х"</f>
        <v>х</v>
      </c>
      <c r="AH161" s="27" t="str">
        <f t="shared" si="146"/>
        <v>х</v>
      </c>
      <c r="AI161" s="27" t="str">
        <f t="shared" si="146"/>
        <v>х</v>
      </c>
      <c r="AJ161" s="27" t="str">
        <f t="shared" si="146"/>
        <v>х</v>
      </c>
      <c r="AK161" s="28" t="str">
        <f>""</f>
        <v/>
      </c>
      <c r="AL161" s="27" t="str">
        <f>""</f>
        <v/>
      </c>
      <c r="AM161" s="27" t="str">
        <f>"2018-2020"</f>
        <v>2018-2020</v>
      </c>
      <c r="AN161" s="30" t="str">
        <f>""</f>
        <v/>
      </c>
      <c r="AO161" s="27" t="str">
        <f>""</f>
        <v/>
      </c>
      <c r="AP161" s="27" t="str">
        <f>""</f>
        <v/>
      </c>
      <c r="AQ161" s="27" t="str">
        <f>"2018-2020"</f>
        <v>2018-2020</v>
      </c>
      <c r="AR161" s="27" t="str">
        <f>""</f>
        <v/>
      </c>
      <c r="AS161" s="27" t="str">
        <f>""</f>
        <v/>
      </c>
      <c r="AT161" s="27" t="str">
        <f>""</f>
        <v/>
      </c>
      <c r="AU161" s="27" t="str">
        <f>""</f>
        <v/>
      </c>
      <c r="AV161" s="27" t="str">
        <f>""</f>
        <v/>
      </c>
      <c r="AW161" s="27" t="str">
        <f>""</f>
        <v/>
      </c>
      <c r="AX161" s="27" t="str">
        <f>"2040-2042"</f>
        <v>2040-2042</v>
      </c>
      <c r="AY161" s="27" t="str">
        <f>""</f>
        <v/>
      </c>
      <c r="AZ161" s="27" t="str">
        <f>""</f>
        <v/>
      </c>
      <c r="BA161" s="27" t="str">
        <f>""</f>
        <v/>
      </c>
      <c r="BB161" s="27" t="str">
        <f>""</f>
        <v/>
      </c>
      <c r="BC161" s="27" t="str">
        <f>""</f>
        <v/>
      </c>
      <c r="BD161" s="27" t="str">
        <f>""</f>
        <v/>
      </c>
      <c r="BE161" s="27" t="str">
        <f>""</f>
        <v/>
      </c>
      <c r="BF161" s="27" t="str">
        <f>""</f>
        <v/>
      </c>
      <c r="BG161" s="27" t="str">
        <f>""</f>
        <v/>
      </c>
      <c r="BH161" s="27" t="str">
        <f>""</f>
        <v/>
      </c>
      <c r="BI161" s="27" t="str">
        <f>"2021-2023"</f>
        <v>2021-2023</v>
      </c>
      <c r="BJ161" s="27" t="str">
        <f t="shared" si="139"/>
        <v>нет</v>
      </c>
      <c r="BK161" s="27" t="str">
        <f>"x"</f>
        <v>x</v>
      </c>
      <c r="BL161" s="27" t="str">
        <f>"x"</f>
        <v>x</v>
      </c>
      <c r="BM161" s="27" t="str">
        <f>"2042-2044"</f>
        <v>2042-2044</v>
      </c>
      <c r="BN161" s="27" t="str">
        <f>""</f>
        <v/>
      </c>
      <c r="BO161" s="27" t="str">
        <f>""</f>
        <v/>
      </c>
      <c r="BP161" s="27" t="str">
        <f>"2042-2044"</f>
        <v>2042-2044</v>
      </c>
      <c r="BQ161" s="27" t="str">
        <f>""</f>
        <v/>
      </c>
      <c r="BR161" s="27" t="str">
        <f>""</f>
        <v/>
      </c>
      <c r="BS161" s="27" t="str">
        <f>"2042-2044"</f>
        <v>2042-2044</v>
      </c>
      <c r="BT161" s="11"/>
      <c r="BU161" s="11"/>
      <c r="BV161" s="11"/>
      <c r="BW161" s="11"/>
      <c r="BX161" s="11"/>
      <c r="BY161" s="11"/>
      <c r="BZ161" s="11"/>
      <c r="CA161" s="11"/>
      <c r="CB161" s="11"/>
      <c r="CC161" s="11"/>
      <c r="CD161" s="11"/>
      <c r="CE161" s="11"/>
      <c r="CF161" s="11"/>
      <c r="CG161" s="11"/>
      <c r="CH161" s="11"/>
      <c r="CI161" s="11"/>
      <c r="CJ161" s="11"/>
      <c r="CK161" s="11"/>
      <c r="CL161" s="11"/>
      <c r="CM161" s="11"/>
      <c r="CN161" s="11"/>
      <c r="CO161" s="11"/>
      <c r="CP161" s="11"/>
      <c r="CQ161" s="11"/>
      <c r="CR161" s="11"/>
      <c r="CS161" s="11"/>
      <c r="CT161" s="11"/>
      <c r="CU161" s="11"/>
      <c r="CV161" s="11"/>
      <c r="CW161" s="11"/>
      <c r="CX161" s="11"/>
      <c r="CY161" s="11"/>
      <c r="CZ161" s="11"/>
      <c r="DA161" s="11"/>
      <c r="DB161" s="11"/>
      <c r="DC161" s="11"/>
      <c r="DD161" s="11"/>
      <c r="DE161" s="11"/>
      <c r="DF161" s="11"/>
      <c r="DG161" s="11"/>
      <c r="DH161" s="11"/>
      <c r="DI161" s="11"/>
      <c r="DJ161" s="11"/>
      <c r="DK161" s="11"/>
      <c r="DL161" s="11"/>
      <c r="DM161" s="11"/>
      <c r="DN161" s="11"/>
      <c r="DO161" s="11"/>
    </row>
    <row r="162" spans="1:119" ht="11.2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  <c r="AI162" s="18"/>
      <c r="AJ162" s="18"/>
      <c r="AK162" s="18"/>
      <c r="AL162" s="18"/>
      <c r="AM162" s="18"/>
      <c r="AN162" s="19"/>
      <c r="AO162" s="18"/>
      <c r="AP162" s="18"/>
      <c r="AQ162" s="18"/>
      <c r="AR162" s="18"/>
      <c r="AS162" s="18"/>
      <c r="AT162" s="18"/>
      <c r="AU162" s="18"/>
      <c r="AV162" s="18"/>
      <c r="AW162" s="18"/>
      <c r="AX162" s="18"/>
      <c r="AY162" s="18"/>
      <c r="AZ162" s="18"/>
      <c r="BA162" s="18"/>
      <c r="BB162" s="18"/>
      <c r="BC162" s="18"/>
      <c r="BD162" s="18"/>
      <c r="BE162" s="18"/>
      <c r="BF162" s="18"/>
      <c r="BG162" s="18"/>
      <c r="BH162" s="18"/>
      <c r="BI162" s="18"/>
      <c r="BJ162" s="18"/>
      <c r="BK162" s="18"/>
      <c r="BL162" s="18"/>
      <c r="BM162" s="18"/>
      <c r="BN162" s="18"/>
      <c r="BO162" s="18"/>
      <c r="BP162" s="18"/>
      <c r="BQ162" s="18"/>
      <c r="BR162" s="18"/>
      <c r="BS162" s="18"/>
      <c r="BT162" s="14"/>
      <c r="BU162" s="14"/>
      <c r="BV162" s="14"/>
      <c r="BW162" s="14"/>
      <c r="BX162" s="14"/>
      <c r="BY162" s="14"/>
      <c r="BZ162" s="14"/>
      <c r="CA162" s="14"/>
      <c r="CB162" s="14"/>
      <c r="CC162" s="14"/>
      <c r="CD162" s="14"/>
      <c r="CE162" s="14"/>
      <c r="CF162" s="14"/>
      <c r="CG162" s="14"/>
      <c r="CH162" s="14"/>
      <c r="CI162" s="14"/>
      <c r="CJ162" s="14"/>
      <c r="CK162" s="14"/>
      <c r="CL162" s="14"/>
      <c r="CM162" s="14"/>
      <c r="CN162" s="14"/>
      <c r="CO162" s="14"/>
      <c r="CP162" s="14"/>
    </row>
    <row r="163" spans="1:119" ht="11.25" customHeight="1">
      <c r="A163" s="31" t="s">
        <v>29</v>
      </c>
      <c r="B163" s="31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F163" s="18"/>
      <c r="AG163" s="18"/>
      <c r="AH163" s="18"/>
      <c r="AI163" s="18"/>
      <c r="AJ163" s="18"/>
      <c r="AK163" s="18"/>
      <c r="AL163" s="18"/>
      <c r="AM163" s="18"/>
      <c r="AN163" s="19"/>
      <c r="AO163" s="18"/>
      <c r="AP163" s="18"/>
      <c r="AQ163" s="18"/>
      <c r="AR163" s="18"/>
      <c r="AS163" s="18"/>
      <c r="AT163" s="18"/>
      <c r="AU163" s="18"/>
      <c r="AV163" s="18"/>
      <c r="AW163" s="18"/>
      <c r="AX163" s="18"/>
      <c r="AY163" s="18"/>
      <c r="AZ163" s="18"/>
      <c r="BA163" s="18"/>
      <c r="BB163" s="18"/>
      <c r="BC163" s="18"/>
      <c r="BD163" s="18"/>
      <c r="BE163" s="18"/>
      <c r="BF163" s="18"/>
      <c r="BG163" s="18"/>
      <c r="BH163" s="18"/>
      <c r="BI163" s="18"/>
      <c r="BJ163" s="18"/>
      <c r="BK163" s="18"/>
      <c r="BL163" s="18"/>
      <c r="BM163" s="18"/>
      <c r="BN163" s="18"/>
      <c r="BO163" s="18"/>
      <c r="BP163" s="18"/>
      <c r="BQ163" s="18"/>
      <c r="BR163" s="18"/>
      <c r="BS163" s="18"/>
      <c r="BT163" s="14"/>
      <c r="BU163" s="14"/>
      <c r="BV163" s="14"/>
      <c r="BW163" s="14"/>
      <c r="BX163" s="14"/>
      <c r="BY163" s="14"/>
      <c r="BZ163" s="14"/>
      <c r="CA163" s="14"/>
      <c r="CB163" s="14"/>
      <c r="CC163" s="14"/>
      <c r="CD163" s="14"/>
      <c r="CE163" s="14"/>
      <c r="CF163" s="14"/>
      <c r="CG163" s="14"/>
      <c r="CH163" s="14"/>
      <c r="CI163" s="14"/>
      <c r="CJ163" s="14"/>
      <c r="CK163" s="14"/>
      <c r="CL163" s="14"/>
      <c r="CM163" s="14"/>
      <c r="CN163" s="14"/>
      <c r="CO163" s="14"/>
      <c r="CP163" s="14"/>
    </row>
    <row r="164" spans="1:119" ht="12.75" customHeight="1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32"/>
      <c r="AG164" s="14"/>
      <c r="AH164" s="14"/>
      <c r="AI164" s="14"/>
      <c r="AJ164" s="14"/>
      <c r="AK164" s="14"/>
      <c r="AL164" s="14"/>
      <c r="AM164" s="14"/>
      <c r="AN164" s="16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  <c r="BA164" s="14"/>
      <c r="BB164" s="14"/>
      <c r="BC164" s="14"/>
      <c r="BD164" s="14"/>
      <c r="BE164" s="14"/>
      <c r="BF164" s="14"/>
      <c r="BG164" s="14"/>
      <c r="BH164" s="14"/>
      <c r="BI164" s="14"/>
      <c r="BJ164" s="14"/>
      <c r="BK164" s="14"/>
      <c r="BL164" s="14"/>
      <c r="BM164" s="14"/>
      <c r="BN164" s="14"/>
      <c r="BO164" s="14"/>
      <c r="BP164" s="14"/>
      <c r="BQ164" s="14"/>
      <c r="BR164" s="14"/>
      <c r="BS164" s="32" t="s">
        <v>38</v>
      </c>
      <c r="BT164" s="14"/>
      <c r="BU164" s="14"/>
      <c r="BV164" s="14"/>
      <c r="BW164" s="14"/>
      <c r="BX164" s="14"/>
      <c r="BY164" s="14"/>
      <c r="BZ164" s="14"/>
      <c r="CA164" s="14"/>
      <c r="CB164" s="14"/>
      <c r="CC164" s="14"/>
      <c r="CD164" s="14"/>
      <c r="CE164" s="14"/>
      <c r="CF164" s="14"/>
      <c r="CG164" s="14"/>
      <c r="CH164" s="14"/>
      <c r="CI164" s="14"/>
      <c r="CJ164" s="14"/>
      <c r="CK164" s="14"/>
      <c r="CL164" s="14"/>
      <c r="CM164" s="14"/>
      <c r="CN164" s="14"/>
      <c r="CO164" s="14"/>
      <c r="CP164" s="14"/>
    </row>
    <row r="165" spans="1:119" ht="12.75" customHeight="1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6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  <c r="BA165" s="14"/>
      <c r="BB165" s="14"/>
      <c r="BC165" s="14"/>
      <c r="BD165" s="14"/>
      <c r="BE165" s="14"/>
      <c r="BF165" s="14"/>
      <c r="BG165" s="14"/>
      <c r="BH165" s="14"/>
      <c r="BI165" s="14"/>
      <c r="BJ165" s="14"/>
      <c r="BK165" s="14"/>
      <c r="BL165" s="14"/>
      <c r="BM165" s="14"/>
      <c r="BN165" s="14"/>
      <c r="BO165" s="14"/>
      <c r="BP165" s="14"/>
      <c r="BQ165" s="14"/>
      <c r="BR165" s="14"/>
      <c r="BS165" s="14"/>
      <c r="BT165" s="14"/>
      <c r="BU165" s="14"/>
      <c r="BV165" s="14"/>
      <c r="BW165" s="14"/>
      <c r="BX165" s="14"/>
      <c r="BY165" s="14"/>
      <c r="BZ165" s="14"/>
      <c r="CA165" s="14"/>
      <c r="CB165" s="14"/>
      <c r="CC165" s="14"/>
      <c r="CD165" s="14"/>
      <c r="CE165" s="14"/>
      <c r="CF165" s="14"/>
      <c r="CG165" s="14"/>
      <c r="CH165" s="14"/>
      <c r="CI165" s="14"/>
      <c r="CJ165" s="14"/>
      <c r="CK165" s="14"/>
      <c r="CL165" s="14"/>
      <c r="CM165" s="14"/>
      <c r="CN165" s="14"/>
      <c r="CO165" s="14"/>
      <c r="CP165" s="14"/>
    </row>
    <row r="166" spans="1:119" ht="12.75" customHeight="1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6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  <c r="AY166" s="14"/>
      <c r="AZ166" s="14"/>
      <c r="BA166" s="14"/>
      <c r="BB166" s="14"/>
      <c r="BC166" s="14"/>
      <c r="BD166" s="14"/>
      <c r="BE166" s="14"/>
      <c r="BF166" s="14"/>
      <c r="BG166" s="14"/>
      <c r="BH166" s="14"/>
      <c r="BI166" s="14"/>
      <c r="BJ166" s="14"/>
      <c r="BK166" s="14"/>
      <c r="BL166" s="14"/>
      <c r="BM166" s="14"/>
      <c r="BN166" s="14"/>
      <c r="BO166" s="14"/>
      <c r="BP166" s="14"/>
      <c r="BQ166" s="14"/>
      <c r="BR166" s="14"/>
      <c r="BS166" s="14"/>
      <c r="BT166" s="14"/>
      <c r="BU166" s="14"/>
      <c r="BV166" s="14"/>
      <c r="BW166" s="14"/>
      <c r="BX166" s="14"/>
      <c r="BY166" s="14"/>
      <c r="BZ166" s="14"/>
      <c r="CA166" s="14"/>
      <c r="CB166" s="14"/>
      <c r="CC166" s="14"/>
      <c r="CD166" s="14"/>
      <c r="CE166" s="14"/>
      <c r="CF166" s="14"/>
      <c r="CG166" s="14"/>
      <c r="CH166" s="14"/>
      <c r="CI166" s="14"/>
      <c r="CJ166" s="14"/>
      <c r="CK166" s="14"/>
      <c r="CL166" s="14"/>
      <c r="CM166" s="14"/>
      <c r="CN166" s="14"/>
      <c r="CO166" s="14"/>
      <c r="CP166" s="14"/>
    </row>
    <row r="167" spans="1:119" ht="12.75" customHeight="1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6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  <c r="AY167" s="14"/>
      <c r="AZ167" s="14"/>
      <c r="BA167" s="14"/>
      <c r="BB167" s="14"/>
      <c r="BC167" s="14"/>
      <c r="BD167" s="14"/>
      <c r="BE167" s="14"/>
      <c r="BF167" s="14"/>
      <c r="BG167" s="14"/>
      <c r="BH167" s="14"/>
      <c r="BI167" s="14"/>
      <c r="BJ167" s="14"/>
      <c r="BK167" s="14"/>
      <c r="BL167" s="14"/>
      <c r="BM167" s="14"/>
      <c r="BN167" s="14"/>
      <c r="BO167" s="14"/>
      <c r="BP167" s="14"/>
      <c r="BQ167" s="14"/>
      <c r="BR167" s="14"/>
      <c r="BS167" s="14"/>
      <c r="BT167" s="14"/>
      <c r="BU167" s="14"/>
      <c r="BV167" s="14"/>
      <c r="BW167" s="14"/>
      <c r="BX167" s="14"/>
      <c r="BY167" s="14"/>
      <c r="BZ167" s="14"/>
      <c r="CA167" s="14"/>
      <c r="CB167" s="14"/>
      <c r="CC167" s="14"/>
      <c r="CD167" s="14"/>
      <c r="CE167" s="14"/>
      <c r="CF167" s="14"/>
      <c r="CG167" s="14"/>
      <c r="CH167" s="14"/>
      <c r="CI167" s="14"/>
      <c r="CJ167" s="14"/>
      <c r="CK167" s="14"/>
      <c r="CL167" s="14"/>
      <c r="CM167" s="14"/>
      <c r="CN167" s="14"/>
      <c r="CO167" s="14"/>
      <c r="CP167" s="14"/>
    </row>
    <row r="168" spans="1:119" ht="12.75" customHeight="1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6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  <c r="AY168" s="14"/>
      <c r="AZ168" s="14"/>
      <c r="BA168" s="14"/>
      <c r="BB168" s="14"/>
      <c r="BC168" s="14"/>
      <c r="BD168" s="14"/>
      <c r="BE168" s="14"/>
      <c r="BF168" s="14"/>
      <c r="BG168" s="14"/>
      <c r="BH168" s="14"/>
      <c r="BI168" s="14"/>
      <c r="BJ168" s="14"/>
      <c r="BK168" s="14"/>
      <c r="BL168" s="14"/>
      <c r="BM168" s="14"/>
      <c r="BN168" s="14"/>
      <c r="BO168" s="14"/>
      <c r="BP168" s="14"/>
      <c r="BQ168" s="14"/>
      <c r="BR168" s="14"/>
      <c r="BS168" s="14"/>
      <c r="BT168" s="14"/>
      <c r="BU168" s="14"/>
      <c r="BV168" s="14"/>
      <c r="BW168" s="14"/>
      <c r="BX168" s="14"/>
      <c r="BY168" s="14"/>
      <c r="BZ168" s="14"/>
      <c r="CA168" s="14"/>
      <c r="CB168" s="14"/>
      <c r="CC168" s="14"/>
      <c r="CD168" s="14"/>
      <c r="CE168" s="14"/>
      <c r="CF168" s="14"/>
      <c r="CG168" s="14"/>
      <c r="CH168" s="14"/>
      <c r="CI168" s="14"/>
      <c r="CJ168" s="14"/>
      <c r="CK168" s="14"/>
      <c r="CL168" s="14"/>
      <c r="CM168" s="14"/>
      <c r="CN168" s="14"/>
      <c r="CO168" s="14"/>
      <c r="CP168" s="14"/>
    </row>
    <row r="169" spans="1:119" ht="12.75" customHeight="1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6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  <c r="AY169" s="14"/>
      <c r="AZ169" s="14"/>
      <c r="BA169" s="14"/>
      <c r="BB169" s="14"/>
      <c r="BC169" s="14"/>
      <c r="BD169" s="14"/>
      <c r="BE169" s="14"/>
      <c r="BF169" s="14"/>
      <c r="BG169" s="14"/>
      <c r="BH169" s="14"/>
      <c r="BI169" s="14"/>
      <c r="BJ169" s="14"/>
      <c r="BK169" s="14"/>
      <c r="BL169" s="14"/>
      <c r="BM169" s="14"/>
      <c r="BN169" s="14"/>
      <c r="BO169" s="14"/>
      <c r="BP169" s="14"/>
      <c r="BQ169" s="14"/>
      <c r="BR169" s="14"/>
      <c r="BS169" s="14"/>
      <c r="BT169" s="14"/>
      <c r="BU169" s="14"/>
      <c r="BV169" s="14"/>
      <c r="BW169" s="14"/>
      <c r="BX169" s="14"/>
      <c r="BY169" s="14"/>
      <c r="BZ169" s="14"/>
      <c r="CA169" s="14"/>
      <c r="CB169" s="14"/>
      <c r="CC169" s="14"/>
      <c r="CD169" s="14"/>
      <c r="CE169" s="14"/>
      <c r="CF169" s="14"/>
      <c r="CG169" s="14"/>
      <c r="CH169" s="14"/>
      <c r="CI169" s="14"/>
      <c r="CJ169" s="14"/>
      <c r="CK169" s="14"/>
      <c r="CL169" s="14"/>
      <c r="CM169" s="14"/>
      <c r="CN169" s="14"/>
      <c r="CO169" s="14"/>
      <c r="CP169" s="14"/>
    </row>
    <row r="170" spans="1:119" ht="12.75" customHeight="1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6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  <c r="AY170" s="14"/>
      <c r="AZ170" s="14"/>
      <c r="BA170" s="14"/>
      <c r="BB170" s="14"/>
      <c r="BC170" s="14"/>
      <c r="BD170" s="14"/>
      <c r="BE170" s="14"/>
      <c r="BF170" s="14"/>
      <c r="BG170" s="14"/>
      <c r="BH170" s="14"/>
      <c r="BI170" s="14"/>
      <c r="BJ170" s="14"/>
      <c r="BK170" s="14"/>
      <c r="BL170" s="14"/>
      <c r="BM170" s="14"/>
      <c r="BN170" s="14"/>
      <c r="BO170" s="14"/>
      <c r="BP170" s="14"/>
      <c r="BQ170" s="14"/>
      <c r="BR170" s="14"/>
      <c r="BS170" s="14"/>
      <c r="BT170" s="14"/>
      <c r="BU170" s="14"/>
      <c r="BV170" s="14"/>
      <c r="BW170" s="14"/>
      <c r="BX170" s="14"/>
      <c r="BY170" s="14"/>
      <c r="BZ170" s="14"/>
      <c r="CA170" s="14"/>
      <c r="CB170" s="14"/>
      <c r="CC170" s="14"/>
      <c r="CD170" s="14"/>
      <c r="CE170" s="14"/>
      <c r="CF170" s="14"/>
      <c r="CG170" s="14"/>
      <c r="CH170" s="14"/>
      <c r="CI170" s="14"/>
      <c r="CJ170" s="14"/>
      <c r="CK170" s="14"/>
      <c r="CL170" s="14"/>
      <c r="CM170" s="14"/>
      <c r="CN170" s="14"/>
      <c r="CO170" s="14"/>
      <c r="CP170" s="14"/>
    </row>
    <row r="171" spans="1:119" ht="12.75" customHeight="1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6"/>
      <c r="AO171" s="14"/>
      <c r="AP171" s="14"/>
      <c r="AQ171" s="14"/>
      <c r="AR171" s="14"/>
      <c r="AS171" s="14"/>
      <c r="AT171" s="14"/>
      <c r="AU171" s="14"/>
      <c r="AV171" s="14"/>
      <c r="AW171" s="14"/>
      <c r="AX171" s="14"/>
      <c r="AY171" s="14"/>
      <c r="AZ171" s="14"/>
      <c r="BA171" s="14"/>
      <c r="BB171" s="14"/>
      <c r="BC171" s="14"/>
      <c r="BD171" s="14"/>
      <c r="BE171" s="14"/>
      <c r="BF171" s="14"/>
      <c r="BG171" s="14"/>
      <c r="BH171" s="14"/>
      <c r="BI171" s="14"/>
      <c r="BJ171" s="14"/>
      <c r="BK171" s="14"/>
      <c r="BL171" s="14"/>
      <c r="BM171" s="14"/>
      <c r="BN171" s="14"/>
      <c r="BO171" s="14"/>
      <c r="BP171" s="14"/>
      <c r="BQ171" s="14"/>
      <c r="BR171" s="14"/>
      <c r="BS171" s="14"/>
      <c r="BT171" s="14"/>
      <c r="BU171" s="14"/>
      <c r="BV171" s="14"/>
      <c r="BW171" s="14"/>
      <c r="BX171" s="14"/>
      <c r="BY171" s="14"/>
      <c r="BZ171" s="14"/>
      <c r="CA171" s="14"/>
      <c r="CB171" s="14"/>
      <c r="CC171" s="14"/>
      <c r="CD171" s="14"/>
      <c r="CE171" s="14"/>
      <c r="CF171" s="14"/>
      <c r="CG171" s="14"/>
      <c r="CH171" s="14"/>
      <c r="CI171" s="14"/>
      <c r="CJ171" s="14"/>
      <c r="CK171" s="14"/>
      <c r="CL171" s="14"/>
      <c r="CM171" s="14"/>
      <c r="CN171" s="14"/>
      <c r="CO171" s="14"/>
      <c r="CP171" s="14"/>
    </row>
    <row r="172" spans="1:119" ht="12.75" customHeight="1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6"/>
      <c r="AO172" s="14"/>
      <c r="AP172" s="14"/>
      <c r="AQ172" s="14"/>
      <c r="AR172" s="14"/>
      <c r="AS172" s="14"/>
      <c r="AT172" s="14"/>
      <c r="AU172" s="14"/>
      <c r="AV172" s="14"/>
      <c r="AW172" s="14"/>
      <c r="AX172" s="14"/>
      <c r="AY172" s="14"/>
      <c r="AZ172" s="14"/>
      <c r="BA172" s="14"/>
      <c r="BB172" s="14"/>
      <c r="BC172" s="14"/>
      <c r="BD172" s="14"/>
      <c r="BE172" s="14"/>
      <c r="BF172" s="14"/>
      <c r="BG172" s="14"/>
      <c r="BH172" s="14"/>
      <c r="BI172" s="14"/>
      <c r="BJ172" s="14"/>
      <c r="BK172" s="14"/>
      <c r="BL172" s="14"/>
      <c r="BM172" s="14"/>
      <c r="BN172" s="14"/>
      <c r="BO172" s="14"/>
      <c r="BP172" s="14"/>
      <c r="BQ172" s="14"/>
      <c r="BR172" s="14"/>
      <c r="BS172" s="14"/>
      <c r="BT172" s="14"/>
      <c r="BU172" s="14"/>
      <c r="BV172" s="14"/>
      <c r="BW172" s="14"/>
      <c r="BX172" s="14"/>
      <c r="BY172" s="14"/>
      <c r="BZ172" s="14"/>
      <c r="CA172" s="14"/>
      <c r="CB172" s="14"/>
      <c r="CC172" s="14"/>
      <c r="CD172" s="14"/>
      <c r="CE172" s="14"/>
      <c r="CF172" s="14"/>
      <c r="CG172" s="14"/>
      <c r="CH172" s="14"/>
      <c r="CI172" s="14"/>
      <c r="CJ172" s="14"/>
      <c r="CK172" s="14"/>
      <c r="CL172" s="14"/>
      <c r="CM172" s="14"/>
      <c r="CN172" s="14"/>
      <c r="CO172" s="14"/>
      <c r="CP172" s="14"/>
    </row>
    <row r="173" spans="1:119" ht="12.75" customHeight="1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6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  <c r="BA173" s="14"/>
      <c r="BB173" s="14"/>
      <c r="BC173" s="14"/>
      <c r="BD173" s="14"/>
      <c r="BE173" s="14"/>
      <c r="BF173" s="14"/>
      <c r="BG173" s="14"/>
      <c r="BH173" s="14"/>
      <c r="BI173" s="14"/>
      <c r="BJ173" s="14"/>
      <c r="BK173" s="14"/>
      <c r="BL173" s="14"/>
      <c r="BM173" s="14"/>
      <c r="BN173" s="14"/>
      <c r="BO173" s="14"/>
      <c r="BP173" s="14"/>
      <c r="BQ173" s="14"/>
      <c r="BR173" s="14"/>
      <c r="BS173" s="14"/>
      <c r="BT173" s="14"/>
      <c r="BU173" s="14"/>
      <c r="BV173" s="14"/>
      <c r="BW173" s="14"/>
      <c r="BX173" s="14"/>
      <c r="BY173" s="14"/>
      <c r="BZ173" s="14"/>
      <c r="CA173" s="14"/>
      <c r="CB173" s="14"/>
      <c r="CC173" s="14"/>
      <c r="CD173" s="14"/>
      <c r="CE173" s="14"/>
      <c r="CF173" s="14"/>
      <c r="CG173" s="14"/>
      <c r="CH173" s="14"/>
      <c r="CI173" s="14"/>
      <c r="CJ173" s="14"/>
      <c r="CK173" s="14"/>
      <c r="CL173" s="14"/>
      <c r="CM173" s="14"/>
      <c r="CN173" s="14"/>
      <c r="CO173" s="14"/>
      <c r="CP173" s="14"/>
    </row>
    <row r="174" spans="1:119" ht="12.75" customHeight="1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6"/>
      <c r="AO174" s="14"/>
      <c r="AP174" s="14"/>
      <c r="AQ174" s="14"/>
      <c r="AR174" s="14"/>
      <c r="AS174" s="14"/>
      <c r="AT174" s="14"/>
      <c r="AU174" s="14"/>
      <c r="AV174" s="14"/>
      <c r="AW174" s="14"/>
      <c r="AX174" s="14"/>
      <c r="AY174" s="14"/>
      <c r="AZ174" s="14"/>
      <c r="BA174" s="14"/>
      <c r="BB174" s="14"/>
      <c r="BC174" s="14"/>
      <c r="BD174" s="14"/>
      <c r="BE174" s="14"/>
      <c r="BF174" s="14"/>
      <c r="BG174" s="14"/>
      <c r="BH174" s="14"/>
      <c r="BI174" s="14"/>
      <c r="BJ174" s="14"/>
      <c r="BK174" s="14"/>
      <c r="BL174" s="14"/>
      <c r="BM174" s="14"/>
      <c r="BN174" s="14"/>
      <c r="BO174" s="14"/>
      <c r="BP174" s="14"/>
      <c r="BQ174" s="14"/>
      <c r="BR174" s="14"/>
      <c r="BS174" s="14"/>
      <c r="BT174" s="14"/>
      <c r="BU174" s="14"/>
      <c r="BV174" s="14"/>
      <c r="BW174" s="14"/>
      <c r="BX174" s="14"/>
      <c r="BY174" s="14"/>
      <c r="BZ174" s="14"/>
      <c r="CA174" s="14"/>
      <c r="CB174" s="14"/>
      <c r="CC174" s="14"/>
      <c r="CD174" s="14"/>
      <c r="CE174" s="14"/>
      <c r="CF174" s="14"/>
      <c r="CG174" s="14"/>
      <c r="CH174" s="14"/>
      <c r="CI174" s="14"/>
      <c r="CJ174" s="14"/>
      <c r="CK174" s="14"/>
      <c r="CL174" s="14"/>
      <c r="CM174" s="14"/>
      <c r="CN174" s="14"/>
      <c r="CO174" s="14"/>
      <c r="CP174" s="14"/>
    </row>
    <row r="175" spans="1:119" ht="12.75" customHeight="1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6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  <c r="BA175" s="14"/>
      <c r="BB175" s="14"/>
      <c r="BC175" s="14"/>
      <c r="BD175" s="14"/>
      <c r="BE175" s="14"/>
      <c r="BF175" s="14"/>
      <c r="BG175" s="14"/>
      <c r="BH175" s="14"/>
      <c r="BI175" s="14"/>
      <c r="BJ175" s="14"/>
      <c r="BK175" s="14"/>
      <c r="BL175" s="14"/>
      <c r="BM175" s="14"/>
      <c r="BN175" s="14"/>
      <c r="BO175" s="14"/>
      <c r="BP175" s="14"/>
      <c r="BQ175" s="14"/>
      <c r="BR175" s="14"/>
      <c r="BS175" s="14"/>
      <c r="BT175" s="14"/>
      <c r="BU175" s="14"/>
      <c r="BV175" s="14"/>
      <c r="BW175" s="14"/>
      <c r="BX175" s="14"/>
      <c r="BY175" s="14"/>
      <c r="BZ175" s="14"/>
      <c r="CA175" s="14"/>
      <c r="CB175" s="14"/>
      <c r="CC175" s="14"/>
      <c r="CD175" s="14"/>
      <c r="CE175" s="14"/>
      <c r="CF175" s="14"/>
      <c r="CG175" s="14"/>
      <c r="CH175" s="14"/>
      <c r="CI175" s="14"/>
      <c r="CJ175" s="14"/>
      <c r="CK175" s="14"/>
      <c r="CL175" s="14"/>
      <c r="CM175" s="14"/>
      <c r="CN175" s="14"/>
      <c r="CO175" s="14"/>
      <c r="CP175" s="14"/>
    </row>
    <row r="176" spans="1:119" ht="12.75" customHeight="1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6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  <c r="AY176" s="14"/>
      <c r="AZ176" s="14"/>
      <c r="BA176" s="14"/>
      <c r="BB176" s="14"/>
      <c r="BC176" s="14"/>
      <c r="BD176" s="14"/>
      <c r="BE176" s="14"/>
      <c r="BF176" s="14"/>
      <c r="BG176" s="14"/>
      <c r="BH176" s="14"/>
      <c r="BI176" s="14"/>
      <c r="BJ176" s="14"/>
      <c r="BK176" s="14"/>
      <c r="BL176" s="14"/>
      <c r="BM176" s="14"/>
      <c r="BN176" s="14"/>
      <c r="BO176" s="14"/>
      <c r="BP176" s="14"/>
      <c r="BQ176" s="14"/>
      <c r="BR176" s="14"/>
      <c r="BS176" s="14"/>
      <c r="BT176" s="14"/>
      <c r="BU176" s="14"/>
      <c r="BV176" s="14"/>
      <c r="BW176" s="14"/>
      <c r="BX176" s="14"/>
      <c r="BY176" s="14"/>
      <c r="BZ176" s="14"/>
      <c r="CA176" s="14"/>
      <c r="CB176" s="14"/>
      <c r="CC176" s="14"/>
      <c r="CD176" s="14"/>
      <c r="CE176" s="14"/>
      <c r="CF176" s="14"/>
      <c r="CG176" s="14"/>
      <c r="CH176" s="14"/>
      <c r="CI176" s="14"/>
      <c r="CJ176" s="14"/>
      <c r="CK176" s="14"/>
      <c r="CL176" s="14"/>
      <c r="CM176" s="14"/>
      <c r="CN176" s="14"/>
      <c r="CO176" s="14"/>
      <c r="CP176" s="14"/>
    </row>
    <row r="177" spans="1:94" ht="12.75" customHeight="1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6"/>
      <c r="AO177" s="14"/>
      <c r="AP177" s="14"/>
      <c r="AQ177" s="14"/>
      <c r="AR177" s="14"/>
      <c r="AS177" s="14"/>
      <c r="AT177" s="14"/>
      <c r="AU177" s="14"/>
      <c r="AV177" s="14"/>
      <c r="AW177" s="14"/>
      <c r="AX177" s="14"/>
      <c r="AY177" s="14"/>
      <c r="AZ177" s="14"/>
      <c r="BA177" s="14"/>
      <c r="BB177" s="14"/>
      <c r="BC177" s="14"/>
      <c r="BD177" s="14"/>
      <c r="BE177" s="14"/>
      <c r="BF177" s="14"/>
      <c r="BG177" s="14"/>
      <c r="BH177" s="14"/>
      <c r="BI177" s="14"/>
      <c r="BJ177" s="14"/>
      <c r="BK177" s="14"/>
      <c r="BL177" s="14"/>
      <c r="BM177" s="14"/>
      <c r="BN177" s="14"/>
      <c r="BO177" s="14"/>
      <c r="BP177" s="14"/>
      <c r="BQ177" s="14"/>
      <c r="BR177" s="14"/>
      <c r="BS177" s="14"/>
      <c r="BT177" s="14"/>
      <c r="BU177" s="14"/>
      <c r="BV177" s="14"/>
      <c r="BW177" s="14"/>
      <c r="BX177" s="14"/>
      <c r="BY177" s="14"/>
      <c r="BZ177" s="14"/>
      <c r="CA177" s="14"/>
      <c r="CB177" s="14"/>
      <c r="CC177" s="14"/>
      <c r="CD177" s="14"/>
      <c r="CE177" s="14"/>
      <c r="CF177" s="14"/>
      <c r="CG177" s="14"/>
      <c r="CH177" s="14"/>
      <c r="CI177" s="14"/>
      <c r="CJ177" s="14"/>
      <c r="CK177" s="14"/>
      <c r="CL177" s="14"/>
      <c r="CM177" s="14"/>
      <c r="CN177" s="14"/>
      <c r="CO177" s="14"/>
      <c r="CP177" s="14"/>
    </row>
    <row r="178" spans="1:94" ht="12.75" customHeight="1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6"/>
      <c r="AO178" s="14"/>
      <c r="AP178" s="14"/>
      <c r="AQ178" s="14"/>
      <c r="AR178" s="14"/>
      <c r="AS178" s="14"/>
      <c r="AT178" s="14"/>
      <c r="AU178" s="14"/>
      <c r="AV178" s="14"/>
      <c r="AW178" s="14"/>
      <c r="AX178" s="14"/>
      <c r="AY178" s="14"/>
      <c r="AZ178" s="14"/>
      <c r="BA178" s="14"/>
      <c r="BB178" s="14"/>
      <c r="BC178" s="14"/>
      <c r="BD178" s="14"/>
      <c r="BE178" s="14"/>
      <c r="BF178" s="14"/>
      <c r="BG178" s="14"/>
      <c r="BH178" s="14"/>
      <c r="BI178" s="14"/>
      <c r="BJ178" s="14"/>
      <c r="BK178" s="14"/>
      <c r="BL178" s="14"/>
      <c r="BM178" s="14"/>
      <c r="BN178" s="14"/>
      <c r="BO178" s="14"/>
      <c r="BP178" s="14"/>
      <c r="BQ178" s="14"/>
      <c r="BR178" s="14"/>
      <c r="BS178" s="14"/>
      <c r="BT178" s="14"/>
      <c r="BU178" s="14"/>
      <c r="BV178" s="14"/>
      <c r="BW178" s="14"/>
      <c r="BX178" s="14"/>
      <c r="BY178" s="14"/>
      <c r="BZ178" s="14"/>
      <c r="CA178" s="14"/>
      <c r="CB178" s="14"/>
      <c r="CC178" s="14"/>
      <c r="CD178" s="14"/>
      <c r="CE178" s="14"/>
      <c r="CF178" s="14"/>
      <c r="CG178" s="14"/>
      <c r="CH178" s="14"/>
      <c r="CI178" s="14"/>
      <c r="CJ178" s="14"/>
      <c r="CK178" s="14"/>
      <c r="CL178" s="14"/>
      <c r="CM178" s="14"/>
      <c r="CN178" s="14"/>
      <c r="CO178" s="14"/>
      <c r="CP178" s="14"/>
    </row>
    <row r="179" spans="1:94" ht="12.75" customHeight="1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6"/>
      <c r="AO179" s="14"/>
      <c r="AP179" s="14"/>
      <c r="AQ179" s="14"/>
      <c r="AR179" s="14"/>
      <c r="AS179" s="14"/>
      <c r="AT179" s="14"/>
      <c r="AU179" s="14"/>
      <c r="AV179" s="14"/>
      <c r="AW179" s="14"/>
      <c r="AX179" s="14"/>
      <c r="AY179" s="14"/>
      <c r="AZ179" s="14"/>
      <c r="BA179" s="14"/>
      <c r="BB179" s="14"/>
      <c r="BC179" s="14"/>
      <c r="BD179" s="14"/>
      <c r="BE179" s="14"/>
      <c r="BF179" s="14"/>
      <c r="BG179" s="14"/>
      <c r="BH179" s="14"/>
      <c r="BI179" s="14"/>
      <c r="BJ179" s="14"/>
      <c r="BK179" s="14"/>
      <c r="BL179" s="14"/>
      <c r="BM179" s="14"/>
      <c r="BN179" s="14"/>
      <c r="BO179" s="14"/>
      <c r="BP179" s="14"/>
      <c r="BQ179" s="14"/>
      <c r="BR179" s="14"/>
      <c r="BS179" s="14"/>
      <c r="BT179" s="14"/>
      <c r="BU179" s="14"/>
      <c r="BV179" s="14"/>
      <c r="BW179" s="14"/>
      <c r="BX179" s="14"/>
      <c r="BY179" s="14"/>
      <c r="BZ179" s="14"/>
      <c r="CA179" s="14"/>
      <c r="CB179" s="14"/>
      <c r="CC179" s="14"/>
      <c r="CD179" s="14"/>
      <c r="CE179" s="14"/>
      <c r="CF179" s="14"/>
      <c r="CG179" s="14"/>
      <c r="CH179" s="14"/>
      <c r="CI179" s="14"/>
      <c r="CJ179" s="14"/>
      <c r="CK179" s="14"/>
      <c r="CL179" s="14"/>
      <c r="CM179" s="14"/>
      <c r="CN179" s="14"/>
      <c r="CO179" s="14"/>
      <c r="CP179" s="14"/>
    </row>
    <row r="180" spans="1:94" ht="12.75" customHeight="1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6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  <c r="AY180" s="14"/>
      <c r="AZ180" s="14"/>
      <c r="BA180" s="14"/>
      <c r="BB180" s="14"/>
      <c r="BC180" s="14"/>
      <c r="BD180" s="14"/>
      <c r="BE180" s="14"/>
      <c r="BF180" s="14"/>
      <c r="BG180" s="14"/>
      <c r="BH180" s="14"/>
      <c r="BI180" s="14"/>
      <c r="BJ180" s="14"/>
      <c r="BK180" s="14"/>
      <c r="BL180" s="14"/>
      <c r="BM180" s="14"/>
      <c r="BN180" s="14"/>
      <c r="BO180" s="14"/>
      <c r="BP180" s="14"/>
      <c r="BQ180" s="14"/>
      <c r="BR180" s="14"/>
      <c r="BS180" s="14"/>
      <c r="BT180" s="14"/>
      <c r="BU180" s="14"/>
      <c r="BV180" s="14"/>
      <c r="BW180" s="14"/>
      <c r="BX180" s="14"/>
      <c r="BY180" s="14"/>
      <c r="BZ180" s="14"/>
      <c r="CA180" s="14"/>
      <c r="CB180" s="14"/>
      <c r="CC180" s="14"/>
      <c r="CD180" s="14"/>
      <c r="CE180" s="14"/>
      <c r="CF180" s="14"/>
      <c r="CG180" s="14"/>
      <c r="CH180" s="14"/>
      <c r="CI180" s="14"/>
      <c r="CJ180" s="14"/>
      <c r="CK180" s="14"/>
      <c r="CL180" s="14"/>
      <c r="CM180" s="14"/>
      <c r="CN180" s="14"/>
      <c r="CO180" s="14"/>
      <c r="CP180" s="14"/>
    </row>
    <row r="181" spans="1:94" ht="12.75" customHeight="1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6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  <c r="BA181" s="14"/>
      <c r="BB181" s="14"/>
      <c r="BC181" s="14"/>
      <c r="BD181" s="14"/>
      <c r="BE181" s="14"/>
      <c r="BF181" s="14"/>
      <c r="BG181" s="14"/>
      <c r="BH181" s="14"/>
      <c r="BI181" s="14"/>
      <c r="BJ181" s="14"/>
      <c r="BK181" s="14"/>
      <c r="BL181" s="14"/>
      <c r="BM181" s="14"/>
      <c r="BN181" s="14"/>
      <c r="BO181" s="14"/>
      <c r="BP181" s="14"/>
      <c r="BQ181" s="14"/>
      <c r="BR181" s="14"/>
      <c r="BS181" s="14"/>
      <c r="BT181" s="14"/>
      <c r="BU181" s="14"/>
      <c r="BV181" s="14"/>
      <c r="BW181" s="14"/>
      <c r="BX181" s="14"/>
      <c r="BY181" s="14"/>
      <c r="BZ181" s="14"/>
      <c r="CA181" s="14"/>
      <c r="CB181" s="14"/>
      <c r="CC181" s="14"/>
      <c r="CD181" s="14"/>
      <c r="CE181" s="14"/>
      <c r="CF181" s="14"/>
      <c r="CG181" s="14"/>
      <c r="CH181" s="14"/>
      <c r="CI181" s="14"/>
      <c r="CJ181" s="14"/>
      <c r="CK181" s="14"/>
      <c r="CL181" s="14"/>
      <c r="CM181" s="14"/>
      <c r="CN181" s="14"/>
      <c r="CO181" s="14"/>
      <c r="CP181" s="14"/>
    </row>
    <row r="182" spans="1:94" ht="12.75" customHeight="1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6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  <c r="AY182" s="14"/>
      <c r="AZ182" s="14"/>
      <c r="BA182" s="14"/>
      <c r="BB182" s="14"/>
      <c r="BC182" s="14"/>
      <c r="BD182" s="14"/>
      <c r="BE182" s="14"/>
      <c r="BF182" s="14"/>
      <c r="BG182" s="14"/>
      <c r="BH182" s="14"/>
      <c r="BI182" s="14"/>
      <c r="BJ182" s="14"/>
      <c r="BK182" s="14"/>
      <c r="BL182" s="14"/>
      <c r="BM182" s="14"/>
      <c r="BN182" s="14"/>
      <c r="BO182" s="14"/>
      <c r="BP182" s="14"/>
      <c r="BQ182" s="14"/>
      <c r="BR182" s="14"/>
      <c r="BS182" s="14"/>
      <c r="BT182" s="14"/>
      <c r="BU182" s="14"/>
      <c r="BV182" s="14"/>
      <c r="BW182" s="14"/>
      <c r="BX182" s="14"/>
      <c r="BY182" s="14"/>
      <c r="BZ182" s="14"/>
      <c r="CA182" s="14"/>
      <c r="CB182" s="14"/>
      <c r="CC182" s="14"/>
      <c r="CD182" s="14"/>
      <c r="CE182" s="14"/>
      <c r="CF182" s="14"/>
      <c r="CG182" s="14"/>
      <c r="CH182" s="14"/>
      <c r="CI182" s="14"/>
      <c r="CJ182" s="14"/>
      <c r="CK182" s="14"/>
      <c r="CL182" s="14"/>
      <c r="CM182" s="14"/>
      <c r="CN182" s="14"/>
      <c r="CO182" s="14"/>
      <c r="CP182" s="14"/>
    </row>
    <row r="183" spans="1:94" ht="12.75" customHeight="1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6"/>
      <c r="AO183" s="14"/>
      <c r="AP183" s="14"/>
      <c r="AQ183" s="14"/>
      <c r="AR183" s="14"/>
      <c r="AS183" s="14"/>
      <c r="AT183" s="14"/>
      <c r="AU183" s="14"/>
      <c r="AV183" s="14"/>
      <c r="AW183" s="14"/>
      <c r="AX183" s="14"/>
      <c r="AY183" s="14"/>
      <c r="AZ183" s="14"/>
      <c r="BA183" s="14"/>
      <c r="BB183" s="14"/>
      <c r="BC183" s="14"/>
      <c r="BD183" s="14"/>
      <c r="BE183" s="14"/>
      <c r="BF183" s="14"/>
      <c r="BG183" s="14"/>
      <c r="BH183" s="14"/>
      <c r="BI183" s="14"/>
      <c r="BJ183" s="14"/>
      <c r="BK183" s="14"/>
      <c r="BL183" s="14"/>
      <c r="BM183" s="14"/>
      <c r="BN183" s="14"/>
      <c r="BO183" s="14"/>
      <c r="BP183" s="14"/>
      <c r="BQ183" s="14"/>
      <c r="BR183" s="14"/>
      <c r="BS183" s="14"/>
      <c r="BT183" s="14"/>
      <c r="BU183" s="14"/>
      <c r="BV183" s="14"/>
      <c r="BW183" s="14"/>
      <c r="BX183" s="14"/>
      <c r="BY183" s="14"/>
      <c r="BZ183" s="14"/>
      <c r="CA183" s="14"/>
      <c r="CB183" s="14"/>
      <c r="CC183" s="14"/>
      <c r="CD183" s="14"/>
      <c r="CE183" s="14"/>
      <c r="CF183" s="14"/>
      <c r="CG183" s="14"/>
      <c r="CH183" s="14"/>
      <c r="CI183" s="14"/>
      <c r="CJ183" s="14"/>
      <c r="CK183" s="14"/>
      <c r="CL183" s="14"/>
      <c r="CM183" s="14"/>
      <c r="CN183" s="14"/>
      <c r="CO183" s="14"/>
      <c r="CP183" s="14"/>
    </row>
    <row r="184" spans="1:94" ht="12.75" customHeight="1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6"/>
      <c r="AO184" s="14"/>
      <c r="AP184" s="14"/>
      <c r="AQ184" s="14"/>
      <c r="AR184" s="14"/>
      <c r="AS184" s="14"/>
      <c r="AT184" s="14"/>
      <c r="AU184" s="14"/>
      <c r="AV184" s="14"/>
      <c r="AW184" s="14"/>
      <c r="AX184" s="14"/>
      <c r="AY184" s="14"/>
      <c r="AZ184" s="14"/>
      <c r="BA184" s="14"/>
      <c r="BB184" s="14"/>
      <c r="BC184" s="14"/>
      <c r="BD184" s="14"/>
      <c r="BE184" s="14"/>
      <c r="BF184" s="14"/>
      <c r="BG184" s="14"/>
      <c r="BH184" s="14"/>
      <c r="BI184" s="14"/>
      <c r="BJ184" s="14"/>
      <c r="BK184" s="14"/>
      <c r="BL184" s="14"/>
      <c r="BM184" s="14"/>
      <c r="BN184" s="14"/>
      <c r="BO184" s="14"/>
      <c r="BP184" s="14"/>
      <c r="BQ184" s="14"/>
      <c r="BR184" s="14"/>
      <c r="BS184" s="14"/>
      <c r="BT184" s="14"/>
      <c r="BU184" s="14"/>
      <c r="BV184" s="14"/>
      <c r="BW184" s="14"/>
      <c r="BX184" s="14"/>
      <c r="BY184" s="14"/>
      <c r="BZ184" s="14"/>
      <c r="CA184" s="14"/>
      <c r="CB184" s="14"/>
      <c r="CC184" s="14"/>
      <c r="CD184" s="14"/>
      <c r="CE184" s="14"/>
      <c r="CF184" s="14"/>
      <c r="CG184" s="14"/>
      <c r="CH184" s="14"/>
      <c r="CI184" s="14"/>
      <c r="CJ184" s="14"/>
      <c r="CK184" s="14"/>
      <c r="CL184" s="14"/>
      <c r="CM184" s="14"/>
      <c r="CN184" s="14"/>
      <c r="CO184" s="14"/>
      <c r="CP184" s="14"/>
    </row>
    <row r="185" spans="1:94" ht="12.75" customHeight="1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6"/>
      <c r="AO185" s="14"/>
      <c r="AP185" s="14"/>
      <c r="AQ185" s="14"/>
      <c r="AR185" s="14"/>
      <c r="AS185" s="14"/>
      <c r="AT185" s="14"/>
      <c r="AU185" s="14"/>
      <c r="AV185" s="14"/>
      <c r="AW185" s="14"/>
      <c r="AX185" s="14"/>
      <c r="AY185" s="14"/>
      <c r="AZ185" s="14"/>
      <c r="BA185" s="14"/>
      <c r="BB185" s="14"/>
      <c r="BC185" s="14"/>
      <c r="BD185" s="14"/>
      <c r="BE185" s="14"/>
      <c r="BF185" s="14"/>
      <c r="BG185" s="14"/>
      <c r="BH185" s="14"/>
      <c r="BI185" s="14"/>
      <c r="BJ185" s="14"/>
      <c r="BK185" s="14"/>
      <c r="BL185" s="14"/>
      <c r="BM185" s="14"/>
      <c r="BN185" s="14"/>
      <c r="BO185" s="14"/>
      <c r="BP185" s="14"/>
      <c r="BQ185" s="14"/>
      <c r="BR185" s="14"/>
      <c r="BS185" s="14"/>
      <c r="BT185" s="14"/>
      <c r="BU185" s="14"/>
      <c r="BV185" s="14"/>
      <c r="BW185" s="14"/>
      <c r="BX185" s="14"/>
      <c r="BY185" s="14"/>
      <c r="BZ185" s="14"/>
      <c r="CA185" s="14"/>
      <c r="CB185" s="14"/>
      <c r="CC185" s="14"/>
      <c r="CD185" s="14"/>
      <c r="CE185" s="14"/>
      <c r="CF185" s="14"/>
      <c r="CG185" s="14"/>
      <c r="CH185" s="14"/>
      <c r="CI185" s="14"/>
      <c r="CJ185" s="14"/>
      <c r="CK185" s="14"/>
      <c r="CL185" s="14"/>
      <c r="CM185" s="14"/>
      <c r="CN185" s="14"/>
      <c r="CO185" s="14"/>
      <c r="CP185" s="14"/>
    </row>
    <row r="186" spans="1:94" ht="12.75" customHeight="1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6"/>
      <c r="AO186" s="14"/>
      <c r="AP186" s="14"/>
      <c r="AQ186" s="14"/>
      <c r="AR186" s="14"/>
      <c r="AS186" s="14"/>
      <c r="AT186" s="14"/>
      <c r="AU186" s="14"/>
      <c r="AV186" s="14"/>
      <c r="AW186" s="14"/>
      <c r="AX186" s="14"/>
      <c r="AY186" s="14"/>
      <c r="AZ186" s="14"/>
      <c r="BA186" s="14"/>
      <c r="BB186" s="14"/>
      <c r="BC186" s="14"/>
      <c r="BD186" s="14"/>
      <c r="BE186" s="14"/>
      <c r="BF186" s="14"/>
      <c r="BG186" s="14"/>
      <c r="BH186" s="14"/>
      <c r="BI186" s="14"/>
      <c r="BJ186" s="14"/>
      <c r="BK186" s="14"/>
      <c r="BL186" s="14"/>
      <c r="BM186" s="14"/>
      <c r="BN186" s="14"/>
      <c r="BO186" s="14"/>
      <c r="BP186" s="14"/>
      <c r="BQ186" s="14"/>
      <c r="BR186" s="14"/>
      <c r="BS186" s="14"/>
      <c r="BT186" s="14"/>
      <c r="BU186" s="14"/>
      <c r="BV186" s="14"/>
      <c r="BW186" s="14"/>
      <c r="BX186" s="14"/>
      <c r="BY186" s="14"/>
      <c r="BZ186" s="14"/>
      <c r="CA186" s="14"/>
      <c r="CB186" s="14"/>
      <c r="CC186" s="14"/>
      <c r="CD186" s="14"/>
      <c r="CE186" s="14"/>
      <c r="CF186" s="14"/>
      <c r="CG186" s="14"/>
      <c r="CH186" s="14"/>
      <c r="CI186" s="14"/>
      <c r="CJ186" s="14"/>
      <c r="CK186" s="14"/>
      <c r="CL186" s="14"/>
      <c r="CM186" s="14"/>
      <c r="CN186" s="14"/>
      <c r="CO186" s="14"/>
      <c r="CP186" s="14"/>
    </row>
    <row r="187" spans="1:94" ht="12.75" customHeight="1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  <c r="AN187" s="16"/>
      <c r="AO187" s="14"/>
      <c r="AP187" s="14"/>
      <c r="AQ187" s="14"/>
      <c r="AR187" s="14"/>
      <c r="AS187" s="14"/>
      <c r="AT187" s="14"/>
      <c r="AU187" s="14"/>
      <c r="AV187" s="14"/>
      <c r="AW187" s="14"/>
      <c r="AX187" s="14"/>
      <c r="AY187" s="14"/>
      <c r="AZ187" s="14"/>
      <c r="BA187" s="14"/>
      <c r="BB187" s="14"/>
      <c r="BC187" s="14"/>
      <c r="BD187" s="14"/>
      <c r="BE187" s="14"/>
      <c r="BF187" s="14"/>
      <c r="BG187" s="14"/>
      <c r="BH187" s="14"/>
      <c r="BI187" s="14"/>
      <c r="BJ187" s="14"/>
      <c r="BK187" s="14"/>
      <c r="BL187" s="14"/>
      <c r="BM187" s="14"/>
      <c r="BN187" s="14"/>
      <c r="BO187" s="14"/>
      <c r="BP187" s="14"/>
      <c r="BQ187" s="14"/>
      <c r="BR187" s="14"/>
      <c r="BS187" s="14"/>
      <c r="BT187" s="14"/>
      <c r="BU187" s="14"/>
      <c r="BV187" s="14"/>
      <c r="BW187" s="14"/>
      <c r="BX187" s="14"/>
      <c r="BY187" s="14"/>
      <c r="BZ187" s="14"/>
      <c r="CA187" s="14"/>
      <c r="CB187" s="14"/>
      <c r="CC187" s="14"/>
      <c r="CD187" s="14"/>
      <c r="CE187" s="14"/>
      <c r="CF187" s="14"/>
      <c r="CG187" s="14"/>
      <c r="CH187" s="14"/>
      <c r="CI187" s="14"/>
      <c r="CJ187" s="14"/>
      <c r="CK187" s="14"/>
      <c r="CL187" s="14"/>
      <c r="CM187" s="14"/>
      <c r="CN187" s="14"/>
      <c r="CO187" s="14"/>
      <c r="CP187" s="14"/>
    </row>
    <row r="188" spans="1:94" ht="12.75" customHeight="1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  <c r="AN188" s="16"/>
      <c r="AO188" s="14"/>
      <c r="AP188" s="14"/>
      <c r="AQ188" s="14"/>
      <c r="AR188" s="14"/>
      <c r="AS188" s="14"/>
      <c r="AT188" s="14"/>
      <c r="AU188" s="14"/>
      <c r="AV188" s="14"/>
      <c r="AW188" s="14"/>
      <c r="AX188" s="14"/>
      <c r="AY188" s="14"/>
      <c r="AZ188" s="14"/>
      <c r="BA188" s="14"/>
      <c r="BB188" s="14"/>
      <c r="BC188" s="14"/>
      <c r="BD188" s="14"/>
      <c r="BE188" s="14"/>
      <c r="BF188" s="14"/>
      <c r="BG188" s="14"/>
      <c r="BH188" s="14"/>
      <c r="BI188" s="14"/>
      <c r="BJ188" s="14"/>
      <c r="BK188" s="14"/>
      <c r="BL188" s="14"/>
      <c r="BM188" s="14"/>
      <c r="BN188" s="14"/>
      <c r="BO188" s="14"/>
      <c r="BP188" s="14"/>
      <c r="BQ188" s="14"/>
      <c r="BR188" s="14"/>
      <c r="BS188" s="14"/>
      <c r="BT188" s="14"/>
      <c r="BU188" s="14"/>
      <c r="BV188" s="14"/>
      <c r="BW188" s="14"/>
      <c r="BX188" s="14"/>
      <c r="BY188" s="14"/>
      <c r="BZ188" s="14"/>
      <c r="CA188" s="14"/>
      <c r="CB188" s="14"/>
      <c r="CC188" s="14"/>
      <c r="CD188" s="14"/>
      <c r="CE188" s="14"/>
      <c r="CF188" s="14"/>
      <c r="CG188" s="14"/>
      <c r="CH188" s="14"/>
      <c r="CI188" s="14"/>
      <c r="CJ188" s="14"/>
      <c r="CK188" s="14"/>
      <c r="CL188" s="14"/>
      <c r="CM188" s="14"/>
      <c r="CN188" s="14"/>
      <c r="CO188" s="14"/>
      <c r="CP188" s="14"/>
    </row>
    <row r="189" spans="1:94" ht="12.75" customHeight="1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  <c r="AN189" s="16"/>
      <c r="AO189" s="14"/>
      <c r="AP189" s="14"/>
      <c r="AQ189" s="14"/>
      <c r="AR189" s="14"/>
      <c r="AS189" s="14"/>
      <c r="AT189" s="14"/>
      <c r="AU189" s="14"/>
      <c r="AV189" s="14"/>
      <c r="AW189" s="14"/>
      <c r="AX189" s="14"/>
      <c r="AY189" s="14"/>
      <c r="AZ189" s="14"/>
      <c r="BA189" s="14"/>
      <c r="BB189" s="14"/>
      <c r="BC189" s="14"/>
      <c r="BD189" s="14"/>
      <c r="BE189" s="14"/>
      <c r="BF189" s="14"/>
      <c r="BG189" s="14"/>
      <c r="BH189" s="14"/>
      <c r="BI189" s="14"/>
      <c r="BJ189" s="14"/>
      <c r="BK189" s="14"/>
      <c r="BL189" s="14"/>
      <c r="BM189" s="14"/>
      <c r="BN189" s="14"/>
      <c r="BO189" s="14"/>
      <c r="BP189" s="14"/>
      <c r="BQ189" s="14"/>
      <c r="BR189" s="14"/>
      <c r="BS189" s="14"/>
      <c r="BT189" s="14"/>
      <c r="BU189" s="14"/>
      <c r="BV189" s="14"/>
      <c r="BW189" s="14"/>
      <c r="BX189" s="14"/>
      <c r="BY189" s="14"/>
      <c r="BZ189" s="14"/>
      <c r="CA189" s="14"/>
      <c r="CB189" s="14"/>
      <c r="CC189" s="14"/>
      <c r="CD189" s="14"/>
      <c r="CE189" s="14"/>
      <c r="CF189" s="14"/>
      <c r="CG189" s="14"/>
      <c r="CH189" s="14"/>
      <c r="CI189" s="14"/>
      <c r="CJ189" s="14"/>
      <c r="CK189" s="14"/>
      <c r="CL189" s="14"/>
      <c r="CM189" s="14"/>
      <c r="CN189" s="14"/>
      <c r="CO189" s="14"/>
      <c r="CP189" s="14"/>
    </row>
    <row r="190" spans="1:94" ht="12.75" customHeight="1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  <c r="AN190" s="16"/>
      <c r="AO190" s="14"/>
      <c r="AP190" s="14"/>
      <c r="AQ190" s="14"/>
      <c r="AR190" s="14"/>
      <c r="AS190" s="14"/>
      <c r="AT190" s="14"/>
      <c r="AU190" s="14"/>
      <c r="AV190" s="14"/>
      <c r="AW190" s="14"/>
      <c r="AX190" s="14"/>
      <c r="AY190" s="14"/>
      <c r="AZ190" s="14"/>
      <c r="BA190" s="14"/>
      <c r="BB190" s="14"/>
      <c r="BC190" s="14"/>
      <c r="BD190" s="14"/>
      <c r="BE190" s="14"/>
      <c r="BF190" s="14"/>
      <c r="BG190" s="14"/>
      <c r="BH190" s="14"/>
      <c r="BI190" s="14"/>
      <c r="BJ190" s="14"/>
      <c r="BK190" s="14"/>
      <c r="BL190" s="14"/>
      <c r="BM190" s="14"/>
      <c r="BN190" s="14"/>
      <c r="BO190" s="14"/>
      <c r="BP190" s="14"/>
      <c r="BQ190" s="14"/>
      <c r="BR190" s="14"/>
      <c r="BS190" s="14"/>
      <c r="BT190" s="14"/>
      <c r="BU190" s="14"/>
      <c r="BV190" s="14"/>
      <c r="BW190" s="14"/>
      <c r="BX190" s="14"/>
      <c r="BY190" s="14"/>
      <c r="BZ190" s="14"/>
      <c r="CA190" s="14"/>
      <c r="CB190" s="14"/>
      <c r="CC190" s="14"/>
      <c r="CD190" s="14"/>
      <c r="CE190" s="14"/>
      <c r="CF190" s="14"/>
      <c r="CG190" s="14"/>
      <c r="CH190" s="14"/>
      <c r="CI190" s="14"/>
      <c r="CJ190" s="14"/>
      <c r="CK190" s="14"/>
      <c r="CL190" s="14"/>
      <c r="CM190" s="14"/>
      <c r="CN190" s="14"/>
      <c r="CO190" s="14"/>
      <c r="CP190" s="14"/>
    </row>
    <row r="191" spans="1:94" ht="12.75" customHeight="1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  <c r="AM191" s="14"/>
      <c r="AN191" s="16"/>
      <c r="AO191" s="14"/>
      <c r="AP191" s="14"/>
      <c r="AQ191" s="14"/>
      <c r="AR191" s="14"/>
      <c r="AS191" s="14"/>
      <c r="AT191" s="14"/>
      <c r="AU191" s="14"/>
      <c r="AV191" s="14"/>
      <c r="AW191" s="14"/>
      <c r="AX191" s="14"/>
      <c r="AY191" s="14"/>
      <c r="AZ191" s="14"/>
      <c r="BA191" s="14"/>
      <c r="BB191" s="14"/>
      <c r="BC191" s="14"/>
      <c r="BD191" s="14"/>
      <c r="BE191" s="14"/>
      <c r="BF191" s="14"/>
      <c r="BG191" s="14"/>
      <c r="BH191" s="14"/>
      <c r="BI191" s="14"/>
      <c r="BJ191" s="14"/>
      <c r="BK191" s="14"/>
      <c r="BL191" s="14"/>
      <c r="BM191" s="14"/>
      <c r="BN191" s="14"/>
      <c r="BO191" s="14"/>
      <c r="BP191" s="14"/>
      <c r="BQ191" s="14"/>
      <c r="BR191" s="14"/>
      <c r="BS191" s="14"/>
      <c r="BT191" s="14"/>
      <c r="BU191" s="14"/>
      <c r="BV191" s="14"/>
      <c r="BW191" s="14"/>
      <c r="BX191" s="14"/>
      <c r="BY191" s="14"/>
      <c r="BZ191" s="14"/>
      <c r="CA191" s="14"/>
      <c r="CB191" s="14"/>
      <c r="CC191" s="14"/>
      <c r="CD191" s="14"/>
      <c r="CE191" s="14"/>
      <c r="CF191" s="14"/>
      <c r="CG191" s="14"/>
      <c r="CH191" s="14"/>
      <c r="CI191" s="14"/>
      <c r="CJ191" s="14"/>
      <c r="CK191" s="14"/>
      <c r="CL191" s="14"/>
      <c r="CM191" s="14"/>
      <c r="CN191" s="14"/>
      <c r="CO191" s="14"/>
      <c r="CP191" s="14"/>
    </row>
    <row r="192" spans="1:94" ht="12.75" customHeight="1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6"/>
      <c r="AO192" s="14"/>
      <c r="AP192" s="14"/>
      <c r="AQ192" s="14"/>
      <c r="AR192" s="14"/>
      <c r="AS192" s="14"/>
      <c r="AT192" s="14"/>
      <c r="AU192" s="14"/>
      <c r="AV192" s="14"/>
      <c r="AW192" s="14"/>
      <c r="AX192" s="14"/>
      <c r="AY192" s="14"/>
      <c r="AZ192" s="14"/>
      <c r="BA192" s="14"/>
      <c r="BB192" s="14"/>
      <c r="BC192" s="14"/>
      <c r="BD192" s="14"/>
      <c r="BE192" s="14"/>
      <c r="BF192" s="14"/>
      <c r="BG192" s="14"/>
      <c r="BH192" s="14"/>
      <c r="BI192" s="14"/>
      <c r="BJ192" s="14"/>
      <c r="BK192" s="14"/>
      <c r="BL192" s="14"/>
      <c r="BM192" s="14"/>
      <c r="BN192" s="14"/>
      <c r="BO192" s="14"/>
      <c r="BP192" s="14"/>
      <c r="BQ192" s="14"/>
      <c r="BR192" s="14"/>
      <c r="BS192" s="14"/>
      <c r="BT192" s="14"/>
      <c r="BU192" s="14"/>
      <c r="BV192" s="14"/>
      <c r="BW192" s="14"/>
      <c r="BX192" s="14"/>
      <c r="BY192" s="14"/>
      <c r="BZ192" s="14"/>
      <c r="CA192" s="14"/>
      <c r="CB192" s="14"/>
      <c r="CC192" s="14"/>
      <c r="CD192" s="14"/>
      <c r="CE192" s="14"/>
      <c r="CF192" s="14"/>
      <c r="CG192" s="14"/>
      <c r="CH192" s="14"/>
      <c r="CI192" s="14"/>
      <c r="CJ192" s="14"/>
      <c r="CK192" s="14"/>
      <c r="CL192" s="14"/>
      <c r="CM192" s="14"/>
      <c r="CN192" s="14"/>
      <c r="CO192" s="14"/>
      <c r="CP192" s="14"/>
    </row>
    <row r="193" spans="1:94" ht="12.75" customHeight="1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  <c r="AN193" s="16"/>
      <c r="AO193" s="14"/>
      <c r="AP193" s="14"/>
      <c r="AQ193" s="14"/>
      <c r="AR193" s="14"/>
      <c r="AS193" s="14"/>
      <c r="AT193" s="14"/>
      <c r="AU193" s="14"/>
      <c r="AV193" s="14"/>
      <c r="AW193" s="14"/>
      <c r="AX193" s="14"/>
      <c r="AY193" s="14"/>
      <c r="AZ193" s="14"/>
      <c r="BA193" s="14"/>
      <c r="BB193" s="14"/>
      <c r="BC193" s="14"/>
      <c r="BD193" s="14"/>
      <c r="BE193" s="14"/>
      <c r="BF193" s="14"/>
      <c r="BG193" s="14"/>
      <c r="BH193" s="14"/>
      <c r="BI193" s="14"/>
      <c r="BJ193" s="14"/>
      <c r="BK193" s="14"/>
      <c r="BL193" s="14"/>
      <c r="BM193" s="14"/>
      <c r="BN193" s="14"/>
      <c r="BO193" s="14"/>
      <c r="BP193" s="14"/>
      <c r="BQ193" s="14"/>
      <c r="BR193" s="14"/>
      <c r="BS193" s="14"/>
      <c r="BT193" s="14"/>
      <c r="BU193" s="14"/>
      <c r="BV193" s="14"/>
      <c r="BW193" s="14"/>
      <c r="BX193" s="14"/>
      <c r="BY193" s="14"/>
      <c r="BZ193" s="14"/>
      <c r="CA193" s="14"/>
      <c r="CB193" s="14"/>
      <c r="CC193" s="14"/>
      <c r="CD193" s="14"/>
      <c r="CE193" s="14"/>
      <c r="CF193" s="14"/>
      <c r="CG193" s="14"/>
      <c r="CH193" s="14"/>
      <c r="CI193" s="14"/>
      <c r="CJ193" s="14"/>
      <c r="CK193" s="14"/>
      <c r="CL193" s="14"/>
      <c r="CM193" s="14"/>
      <c r="CN193" s="14"/>
      <c r="CO193" s="14"/>
      <c r="CP193" s="14"/>
    </row>
    <row r="194" spans="1:94" ht="12.75" customHeight="1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6"/>
      <c r="AO194" s="14"/>
      <c r="AP194" s="14"/>
      <c r="AQ194" s="14"/>
      <c r="AR194" s="14"/>
      <c r="AS194" s="14"/>
      <c r="AT194" s="14"/>
      <c r="AU194" s="14"/>
      <c r="AV194" s="14"/>
      <c r="AW194" s="14"/>
      <c r="AX194" s="14"/>
      <c r="AY194" s="14"/>
      <c r="AZ194" s="14"/>
      <c r="BA194" s="14"/>
      <c r="BB194" s="14"/>
      <c r="BC194" s="14"/>
      <c r="BD194" s="14"/>
      <c r="BE194" s="14"/>
      <c r="BF194" s="14"/>
      <c r="BG194" s="14"/>
      <c r="BH194" s="14"/>
      <c r="BI194" s="14"/>
      <c r="BJ194" s="14"/>
      <c r="BK194" s="14"/>
      <c r="BL194" s="14"/>
      <c r="BM194" s="14"/>
      <c r="BN194" s="14"/>
      <c r="BO194" s="14"/>
      <c r="BP194" s="14"/>
      <c r="BQ194" s="14"/>
      <c r="BR194" s="14"/>
      <c r="BS194" s="14"/>
      <c r="BT194" s="14"/>
      <c r="BU194" s="14"/>
      <c r="BV194" s="14"/>
      <c r="BW194" s="14"/>
      <c r="BX194" s="14"/>
      <c r="BY194" s="14"/>
      <c r="BZ194" s="14"/>
      <c r="CA194" s="14"/>
      <c r="CB194" s="14"/>
      <c r="CC194" s="14"/>
      <c r="CD194" s="14"/>
      <c r="CE194" s="14"/>
      <c r="CF194" s="14"/>
      <c r="CG194" s="14"/>
      <c r="CH194" s="14"/>
      <c r="CI194" s="14"/>
      <c r="CJ194" s="14"/>
      <c r="CK194" s="14"/>
      <c r="CL194" s="14"/>
      <c r="CM194" s="14"/>
      <c r="CN194" s="14"/>
      <c r="CO194" s="14"/>
      <c r="CP194" s="14"/>
    </row>
    <row r="195" spans="1:94" ht="12.75" customHeight="1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  <c r="AN195" s="16"/>
      <c r="AO195" s="14"/>
      <c r="AP195" s="14"/>
      <c r="AQ195" s="14"/>
      <c r="AR195" s="14"/>
      <c r="AS195" s="14"/>
      <c r="AT195" s="14"/>
      <c r="AU195" s="14"/>
      <c r="AV195" s="14"/>
      <c r="AW195" s="14"/>
      <c r="AX195" s="14"/>
      <c r="AY195" s="14"/>
      <c r="AZ195" s="14"/>
      <c r="BA195" s="14"/>
      <c r="BB195" s="14"/>
      <c r="BC195" s="14"/>
      <c r="BD195" s="14"/>
      <c r="BE195" s="14"/>
      <c r="BF195" s="14"/>
      <c r="BG195" s="14"/>
      <c r="BH195" s="14"/>
      <c r="BI195" s="14"/>
      <c r="BJ195" s="14"/>
      <c r="BK195" s="14"/>
      <c r="BL195" s="14"/>
      <c r="BM195" s="14"/>
      <c r="BN195" s="14"/>
      <c r="BO195" s="14"/>
      <c r="BP195" s="14"/>
      <c r="BQ195" s="14"/>
      <c r="BR195" s="14"/>
      <c r="BS195" s="14"/>
      <c r="BT195" s="14"/>
      <c r="BU195" s="14"/>
      <c r="BV195" s="14"/>
      <c r="BW195" s="14"/>
      <c r="BX195" s="14"/>
      <c r="BY195" s="14"/>
      <c r="BZ195" s="14"/>
      <c r="CA195" s="14"/>
      <c r="CB195" s="14"/>
      <c r="CC195" s="14"/>
      <c r="CD195" s="14"/>
      <c r="CE195" s="14"/>
      <c r="CF195" s="14"/>
      <c r="CG195" s="14"/>
      <c r="CH195" s="14"/>
      <c r="CI195" s="14"/>
      <c r="CJ195" s="14"/>
      <c r="CK195" s="14"/>
      <c r="CL195" s="14"/>
      <c r="CM195" s="14"/>
      <c r="CN195" s="14"/>
      <c r="CO195" s="14"/>
      <c r="CP195" s="14"/>
    </row>
    <row r="196" spans="1:94" ht="12.75" customHeight="1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  <c r="AN196" s="16"/>
      <c r="AO196" s="14"/>
      <c r="AP196" s="14"/>
      <c r="AQ196" s="14"/>
      <c r="AR196" s="14"/>
      <c r="AS196" s="14"/>
      <c r="AT196" s="14"/>
      <c r="AU196" s="14"/>
      <c r="AV196" s="14"/>
      <c r="AW196" s="14"/>
      <c r="AX196" s="14"/>
      <c r="AY196" s="14"/>
      <c r="AZ196" s="14"/>
      <c r="BA196" s="14"/>
      <c r="BB196" s="14"/>
      <c r="BC196" s="14"/>
      <c r="BD196" s="14"/>
      <c r="BE196" s="14"/>
      <c r="BF196" s="14"/>
      <c r="BG196" s="14"/>
      <c r="BH196" s="14"/>
      <c r="BI196" s="14"/>
      <c r="BJ196" s="14"/>
      <c r="BK196" s="14"/>
      <c r="BL196" s="14"/>
      <c r="BM196" s="14"/>
      <c r="BN196" s="14"/>
      <c r="BO196" s="14"/>
      <c r="BP196" s="14"/>
      <c r="BQ196" s="14"/>
      <c r="BR196" s="14"/>
      <c r="BS196" s="14"/>
      <c r="BT196" s="14"/>
      <c r="BU196" s="14"/>
      <c r="BV196" s="14"/>
      <c r="BW196" s="14"/>
      <c r="BX196" s="14"/>
      <c r="BY196" s="14"/>
      <c r="BZ196" s="14"/>
      <c r="CA196" s="14"/>
      <c r="CB196" s="14"/>
      <c r="CC196" s="14"/>
      <c r="CD196" s="14"/>
      <c r="CE196" s="14"/>
      <c r="CF196" s="14"/>
      <c r="CG196" s="14"/>
      <c r="CH196" s="14"/>
      <c r="CI196" s="14"/>
      <c r="CJ196" s="14"/>
      <c r="CK196" s="14"/>
      <c r="CL196" s="14"/>
      <c r="CM196" s="14"/>
      <c r="CN196" s="14"/>
      <c r="CO196" s="14"/>
      <c r="CP196" s="14"/>
    </row>
    <row r="197" spans="1:94" ht="12.75" customHeight="1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6"/>
      <c r="AO197" s="14"/>
      <c r="AP197" s="14"/>
      <c r="AQ197" s="14"/>
      <c r="AR197" s="14"/>
      <c r="AS197" s="14"/>
      <c r="AT197" s="14"/>
      <c r="AU197" s="14"/>
      <c r="AV197" s="14"/>
      <c r="AW197" s="14"/>
      <c r="AX197" s="14"/>
      <c r="AY197" s="14"/>
      <c r="AZ197" s="14"/>
      <c r="BA197" s="14"/>
      <c r="BB197" s="14"/>
      <c r="BC197" s="14"/>
      <c r="BD197" s="14"/>
      <c r="BE197" s="14"/>
      <c r="BF197" s="14"/>
      <c r="BG197" s="14"/>
      <c r="BH197" s="14"/>
      <c r="BI197" s="14"/>
      <c r="BJ197" s="14"/>
      <c r="BK197" s="14"/>
      <c r="BL197" s="14"/>
      <c r="BM197" s="14"/>
      <c r="BN197" s="14"/>
      <c r="BO197" s="14"/>
      <c r="BP197" s="14"/>
      <c r="BQ197" s="14"/>
      <c r="BR197" s="14"/>
      <c r="BS197" s="14"/>
      <c r="BT197" s="14"/>
      <c r="BU197" s="14"/>
      <c r="BV197" s="14"/>
      <c r="BW197" s="14"/>
      <c r="BX197" s="14"/>
      <c r="BY197" s="14"/>
      <c r="BZ197" s="14"/>
      <c r="CA197" s="14"/>
      <c r="CB197" s="14"/>
      <c r="CC197" s="14"/>
      <c r="CD197" s="14"/>
      <c r="CE197" s="14"/>
      <c r="CF197" s="14"/>
      <c r="CG197" s="14"/>
      <c r="CH197" s="14"/>
      <c r="CI197" s="14"/>
      <c r="CJ197" s="14"/>
      <c r="CK197" s="14"/>
      <c r="CL197" s="14"/>
      <c r="CM197" s="14"/>
      <c r="CN197" s="14"/>
      <c r="CO197" s="14"/>
      <c r="CP197" s="14"/>
    </row>
    <row r="198" spans="1:94" ht="12.75" customHeight="1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6"/>
      <c r="AO198" s="14"/>
      <c r="AP198" s="14"/>
      <c r="AQ198" s="14"/>
      <c r="AR198" s="14"/>
      <c r="AS198" s="14"/>
      <c r="AT198" s="14"/>
      <c r="AU198" s="14"/>
      <c r="AV198" s="14"/>
      <c r="AW198" s="14"/>
      <c r="AX198" s="14"/>
      <c r="AY198" s="14"/>
      <c r="AZ198" s="14"/>
      <c r="BA198" s="14"/>
      <c r="BB198" s="14"/>
      <c r="BC198" s="14"/>
      <c r="BD198" s="14"/>
      <c r="BE198" s="14"/>
      <c r="BF198" s="14"/>
      <c r="BG198" s="14"/>
      <c r="BH198" s="14"/>
      <c r="BI198" s="14"/>
      <c r="BJ198" s="14"/>
      <c r="BK198" s="14"/>
      <c r="BL198" s="14"/>
      <c r="BM198" s="14"/>
      <c r="BN198" s="14"/>
      <c r="BO198" s="14"/>
      <c r="BP198" s="14"/>
      <c r="BQ198" s="14"/>
      <c r="BR198" s="14"/>
      <c r="BS198" s="14"/>
      <c r="BT198" s="14"/>
      <c r="BU198" s="14"/>
      <c r="BV198" s="14"/>
      <c r="BW198" s="14"/>
      <c r="BX198" s="14"/>
      <c r="BY198" s="14"/>
      <c r="BZ198" s="14"/>
      <c r="CA198" s="14"/>
      <c r="CB198" s="14"/>
      <c r="CC198" s="14"/>
      <c r="CD198" s="14"/>
      <c r="CE198" s="14"/>
      <c r="CF198" s="14"/>
      <c r="CG198" s="14"/>
      <c r="CH198" s="14"/>
      <c r="CI198" s="14"/>
      <c r="CJ198" s="14"/>
      <c r="CK198" s="14"/>
      <c r="CL198" s="14"/>
      <c r="CM198" s="14"/>
      <c r="CN198" s="14"/>
      <c r="CO198" s="14"/>
      <c r="CP198" s="14"/>
    </row>
    <row r="199" spans="1:94" ht="12.75" customHeight="1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  <c r="AG199" s="14"/>
      <c r="AH199" s="14"/>
      <c r="AI199" s="14"/>
      <c r="AJ199" s="14"/>
      <c r="AK199" s="14"/>
      <c r="AL199" s="14"/>
      <c r="AM199" s="14"/>
      <c r="AN199" s="16"/>
      <c r="AO199" s="14"/>
      <c r="AP199" s="14"/>
      <c r="AQ199" s="14"/>
      <c r="AR199" s="14"/>
      <c r="AS199" s="14"/>
      <c r="AT199" s="14"/>
      <c r="AU199" s="14"/>
      <c r="AV199" s="14"/>
      <c r="AW199" s="14"/>
      <c r="AX199" s="14"/>
      <c r="AY199" s="14"/>
      <c r="AZ199" s="14"/>
      <c r="BA199" s="14"/>
      <c r="BB199" s="14"/>
      <c r="BC199" s="14"/>
      <c r="BD199" s="14"/>
      <c r="BE199" s="14"/>
      <c r="BF199" s="14"/>
      <c r="BG199" s="14"/>
      <c r="BH199" s="14"/>
      <c r="BI199" s="14"/>
      <c r="BJ199" s="14"/>
      <c r="BK199" s="14"/>
      <c r="BL199" s="14"/>
      <c r="BM199" s="14"/>
      <c r="BN199" s="14"/>
      <c r="BO199" s="14"/>
      <c r="BP199" s="14"/>
      <c r="BQ199" s="14"/>
      <c r="BR199" s="14"/>
      <c r="BS199" s="14"/>
      <c r="BT199" s="14"/>
      <c r="BU199" s="14"/>
      <c r="BV199" s="14"/>
      <c r="BW199" s="14"/>
      <c r="BX199" s="14"/>
      <c r="BY199" s="14"/>
      <c r="BZ199" s="14"/>
      <c r="CA199" s="14"/>
      <c r="CB199" s="14"/>
      <c r="CC199" s="14"/>
      <c r="CD199" s="14"/>
      <c r="CE199" s="14"/>
      <c r="CF199" s="14"/>
      <c r="CG199" s="14"/>
      <c r="CH199" s="14"/>
      <c r="CI199" s="14"/>
      <c r="CJ199" s="14"/>
      <c r="CK199" s="14"/>
      <c r="CL199" s="14"/>
      <c r="CM199" s="14"/>
      <c r="CN199" s="14"/>
      <c r="CO199" s="14"/>
      <c r="CP199" s="14"/>
    </row>
    <row r="200" spans="1:94" ht="12.75" customHeight="1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14"/>
      <c r="AH200" s="14"/>
      <c r="AI200" s="14"/>
      <c r="AJ200" s="14"/>
      <c r="AK200" s="14"/>
      <c r="AL200" s="14"/>
      <c r="AM200" s="14"/>
      <c r="AN200" s="16"/>
      <c r="AO200" s="14"/>
      <c r="AP200" s="14"/>
      <c r="AQ200" s="14"/>
      <c r="AR200" s="14"/>
      <c r="AS200" s="14"/>
      <c r="AT200" s="14"/>
      <c r="AU200" s="14"/>
      <c r="AV200" s="14"/>
      <c r="AW200" s="14"/>
      <c r="AX200" s="14"/>
      <c r="AY200" s="14"/>
      <c r="AZ200" s="14"/>
      <c r="BA200" s="14"/>
      <c r="BB200" s="14"/>
      <c r="BC200" s="14"/>
      <c r="BD200" s="14"/>
      <c r="BE200" s="14"/>
      <c r="BF200" s="14"/>
      <c r="BG200" s="14"/>
      <c r="BH200" s="14"/>
      <c r="BI200" s="14"/>
      <c r="BJ200" s="14"/>
      <c r="BK200" s="14"/>
      <c r="BL200" s="14"/>
      <c r="BM200" s="14"/>
      <c r="BN200" s="14"/>
      <c r="BO200" s="14"/>
      <c r="BP200" s="14"/>
      <c r="BQ200" s="14"/>
      <c r="BR200" s="14"/>
      <c r="BS200" s="14"/>
      <c r="BT200" s="14"/>
      <c r="BU200" s="14"/>
      <c r="BV200" s="14"/>
      <c r="BW200" s="14"/>
      <c r="BX200" s="14"/>
      <c r="BY200" s="14"/>
      <c r="BZ200" s="14"/>
      <c r="CA200" s="14"/>
      <c r="CB200" s="14"/>
      <c r="CC200" s="14"/>
      <c r="CD200" s="14"/>
      <c r="CE200" s="14"/>
      <c r="CF200" s="14"/>
      <c r="CG200" s="14"/>
      <c r="CH200" s="14"/>
      <c r="CI200" s="14"/>
      <c r="CJ200" s="14"/>
      <c r="CK200" s="14"/>
      <c r="CL200" s="14"/>
      <c r="CM200" s="14"/>
      <c r="CN200" s="14"/>
      <c r="CO200" s="14"/>
      <c r="CP200" s="14"/>
    </row>
    <row r="201" spans="1:94" ht="12.75" customHeight="1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/>
      <c r="AI201" s="14"/>
      <c r="AJ201" s="14"/>
      <c r="AK201" s="14"/>
      <c r="AL201" s="14"/>
      <c r="AM201" s="14"/>
      <c r="AN201" s="16"/>
      <c r="AO201" s="14"/>
      <c r="AP201" s="14"/>
      <c r="AQ201" s="14"/>
      <c r="AR201" s="14"/>
      <c r="AS201" s="14"/>
      <c r="AT201" s="14"/>
      <c r="AU201" s="14"/>
      <c r="AV201" s="14"/>
      <c r="AW201" s="14"/>
      <c r="AX201" s="14"/>
      <c r="AY201" s="14"/>
      <c r="AZ201" s="14"/>
      <c r="BA201" s="14"/>
      <c r="BB201" s="14"/>
      <c r="BC201" s="14"/>
      <c r="BD201" s="14"/>
      <c r="BE201" s="14"/>
      <c r="BF201" s="14"/>
      <c r="BG201" s="14"/>
      <c r="BH201" s="14"/>
      <c r="BI201" s="14"/>
      <c r="BJ201" s="14"/>
      <c r="BK201" s="14"/>
      <c r="BL201" s="14"/>
      <c r="BM201" s="14"/>
      <c r="BN201" s="14"/>
      <c r="BO201" s="14"/>
      <c r="BP201" s="14"/>
      <c r="BQ201" s="14"/>
      <c r="BR201" s="14"/>
      <c r="BS201" s="14"/>
      <c r="BT201" s="14"/>
      <c r="BU201" s="14"/>
      <c r="BV201" s="14"/>
      <c r="BW201" s="14"/>
      <c r="BX201" s="14"/>
      <c r="BY201" s="14"/>
      <c r="BZ201" s="14"/>
      <c r="CA201" s="14"/>
      <c r="CB201" s="14"/>
      <c r="CC201" s="14"/>
      <c r="CD201" s="14"/>
      <c r="CE201" s="14"/>
      <c r="CF201" s="14"/>
      <c r="CG201" s="14"/>
      <c r="CH201" s="14"/>
      <c r="CI201" s="14"/>
      <c r="CJ201" s="14"/>
      <c r="CK201" s="14"/>
      <c r="CL201" s="14"/>
      <c r="CM201" s="14"/>
      <c r="CN201" s="14"/>
      <c r="CO201" s="14"/>
      <c r="CP201" s="14"/>
    </row>
    <row r="202" spans="1:94" ht="12.75" customHeight="1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  <c r="AG202" s="14"/>
      <c r="AH202" s="14"/>
      <c r="AI202" s="14"/>
      <c r="AJ202" s="14"/>
      <c r="AK202" s="14"/>
      <c r="AL202" s="14"/>
      <c r="AM202" s="14"/>
      <c r="AN202" s="16"/>
      <c r="AO202" s="14"/>
      <c r="AP202" s="14"/>
      <c r="AQ202" s="14"/>
      <c r="AR202" s="14"/>
      <c r="AS202" s="14"/>
      <c r="AT202" s="14"/>
      <c r="AU202" s="14"/>
      <c r="AV202" s="14"/>
      <c r="AW202" s="14"/>
      <c r="AX202" s="14"/>
      <c r="AY202" s="14"/>
      <c r="AZ202" s="14"/>
      <c r="BA202" s="14"/>
      <c r="BB202" s="14"/>
      <c r="BC202" s="14"/>
      <c r="BD202" s="14"/>
      <c r="BE202" s="14"/>
      <c r="BF202" s="14"/>
      <c r="BG202" s="14"/>
      <c r="BH202" s="14"/>
      <c r="BI202" s="14"/>
      <c r="BJ202" s="14"/>
      <c r="BK202" s="14"/>
      <c r="BL202" s="14"/>
      <c r="BM202" s="14"/>
      <c r="BN202" s="14"/>
      <c r="BO202" s="14"/>
      <c r="BP202" s="14"/>
      <c r="BQ202" s="14"/>
      <c r="BR202" s="14"/>
      <c r="BS202" s="14"/>
      <c r="BT202" s="14"/>
      <c r="BU202" s="14"/>
      <c r="BV202" s="14"/>
      <c r="BW202" s="14"/>
      <c r="BX202" s="14"/>
      <c r="BY202" s="14"/>
      <c r="BZ202" s="14"/>
      <c r="CA202" s="14"/>
      <c r="CB202" s="14"/>
      <c r="CC202" s="14"/>
      <c r="CD202" s="14"/>
      <c r="CE202" s="14"/>
      <c r="CF202" s="14"/>
      <c r="CG202" s="14"/>
      <c r="CH202" s="14"/>
      <c r="CI202" s="14"/>
      <c r="CJ202" s="14"/>
      <c r="CK202" s="14"/>
      <c r="CL202" s="14"/>
      <c r="CM202" s="14"/>
      <c r="CN202" s="14"/>
      <c r="CO202" s="14"/>
      <c r="CP202" s="14"/>
    </row>
    <row r="203" spans="1:94" ht="12.75" customHeight="1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/>
      <c r="AH203" s="14"/>
      <c r="AI203" s="14"/>
      <c r="AJ203" s="14"/>
      <c r="AK203" s="14"/>
      <c r="AL203" s="14"/>
      <c r="AM203" s="14"/>
      <c r="AN203" s="16"/>
      <c r="AO203" s="14"/>
      <c r="AP203" s="14"/>
      <c r="AQ203" s="14"/>
      <c r="AR203" s="14"/>
      <c r="AS203" s="14"/>
      <c r="AT203" s="14"/>
      <c r="AU203" s="14"/>
      <c r="AV203" s="14"/>
      <c r="AW203" s="14"/>
      <c r="AX203" s="14"/>
      <c r="AY203" s="14"/>
      <c r="AZ203" s="14"/>
      <c r="BA203" s="14"/>
      <c r="BB203" s="14"/>
      <c r="BC203" s="14"/>
      <c r="BD203" s="14"/>
      <c r="BE203" s="14"/>
      <c r="BF203" s="14"/>
      <c r="BG203" s="14"/>
      <c r="BH203" s="14"/>
      <c r="BI203" s="14"/>
      <c r="BJ203" s="14"/>
      <c r="BK203" s="14"/>
      <c r="BL203" s="14"/>
      <c r="BM203" s="14"/>
      <c r="BN203" s="14"/>
      <c r="BO203" s="14"/>
      <c r="BP203" s="14"/>
      <c r="BQ203" s="14"/>
      <c r="BR203" s="14"/>
      <c r="BS203" s="14"/>
      <c r="BT203" s="14"/>
      <c r="BU203" s="14"/>
      <c r="BV203" s="14"/>
      <c r="BW203" s="14"/>
      <c r="BX203" s="14"/>
      <c r="BY203" s="14"/>
      <c r="BZ203" s="14"/>
      <c r="CA203" s="14"/>
      <c r="CB203" s="14"/>
      <c r="CC203" s="14"/>
      <c r="CD203" s="14"/>
      <c r="CE203" s="14"/>
      <c r="CF203" s="14"/>
      <c r="CG203" s="14"/>
      <c r="CH203" s="14"/>
      <c r="CI203" s="14"/>
      <c r="CJ203" s="14"/>
      <c r="CK203" s="14"/>
      <c r="CL203" s="14"/>
      <c r="CM203" s="14"/>
      <c r="CN203" s="14"/>
      <c r="CO203" s="14"/>
      <c r="CP203" s="14"/>
    </row>
    <row r="204" spans="1:94" ht="12.75" customHeight="1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  <c r="AN204" s="16"/>
      <c r="AO204" s="14"/>
      <c r="AP204" s="14"/>
      <c r="AQ204" s="14"/>
      <c r="AR204" s="14"/>
      <c r="AS204" s="14"/>
      <c r="AT204" s="14"/>
      <c r="AU204" s="14"/>
      <c r="AV204" s="14"/>
      <c r="AW204" s="14"/>
      <c r="AX204" s="14"/>
      <c r="AY204" s="14"/>
      <c r="AZ204" s="14"/>
      <c r="BA204" s="14"/>
      <c r="BB204" s="14"/>
      <c r="BC204" s="14"/>
      <c r="BD204" s="14"/>
      <c r="BE204" s="14"/>
      <c r="BF204" s="14"/>
      <c r="BG204" s="14"/>
      <c r="BH204" s="14"/>
      <c r="BI204" s="14"/>
      <c r="BJ204" s="14"/>
      <c r="BK204" s="14"/>
      <c r="BL204" s="14"/>
      <c r="BM204" s="14"/>
      <c r="BN204" s="14"/>
      <c r="BO204" s="14"/>
      <c r="BP204" s="14"/>
      <c r="BQ204" s="14"/>
      <c r="BR204" s="14"/>
      <c r="BS204" s="14"/>
      <c r="BT204" s="14"/>
      <c r="BU204" s="14"/>
      <c r="BV204" s="14"/>
      <c r="BW204" s="14"/>
      <c r="BX204" s="14"/>
      <c r="BY204" s="14"/>
      <c r="BZ204" s="14"/>
      <c r="CA204" s="14"/>
      <c r="CB204" s="14"/>
      <c r="CC204" s="14"/>
      <c r="CD204" s="14"/>
      <c r="CE204" s="14"/>
      <c r="CF204" s="14"/>
      <c r="CG204" s="14"/>
      <c r="CH204" s="14"/>
      <c r="CI204" s="14"/>
      <c r="CJ204" s="14"/>
      <c r="CK204" s="14"/>
      <c r="CL204" s="14"/>
      <c r="CM204" s="14"/>
      <c r="CN204" s="14"/>
      <c r="CO204" s="14"/>
      <c r="CP204" s="14"/>
    </row>
    <row r="205" spans="1:94" ht="12.75" customHeight="1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  <c r="AN205" s="16"/>
      <c r="AO205" s="14"/>
      <c r="AP205" s="14"/>
      <c r="AQ205" s="14"/>
      <c r="AR205" s="14"/>
      <c r="AS205" s="14"/>
      <c r="AT205" s="14"/>
      <c r="AU205" s="14"/>
      <c r="AV205" s="14"/>
      <c r="AW205" s="14"/>
      <c r="AX205" s="14"/>
      <c r="AY205" s="14"/>
      <c r="AZ205" s="14"/>
      <c r="BA205" s="14"/>
      <c r="BB205" s="14"/>
      <c r="BC205" s="14"/>
      <c r="BD205" s="14"/>
      <c r="BE205" s="14"/>
      <c r="BF205" s="14"/>
      <c r="BG205" s="14"/>
      <c r="BH205" s="14"/>
      <c r="BI205" s="14"/>
      <c r="BJ205" s="14"/>
      <c r="BK205" s="14"/>
      <c r="BL205" s="14"/>
      <c r="BM205" s="14"/>
      <c r="BN205" s="14"/>
      <c r="BO205" s="14"/>
      <c r="BP205" s="14"/>
      <c r="BQ205" s="14"/>
      <c r="BR205" s="14"/>
      <c r="BS205" s="14"/>
      <c r="BT205" s="14"/>
      <c r="BU205" s="14"/>
      <c r="BV205" s="14"/>
      <c r="BW205" s="14"/>
      <c r="BX205" s="14"/>
      <c r="BY205" s="14"/>
      <c r="BZ205" s="14"/>
      <c r="CA205" s="14"/>
      <c r="CB205" s="14"/>
      <c r="CC205" s="14"/>
      <c r="CD205" s="14"/>
      <c r="CE205" s="14"/>
      <c r="CF205" s="14"/>
      <c r="CG205" s="14"/>
      <c r="CH205" s="14"/>
      <c r="CI205" s="14"/>
      <c r="CJ205" s="14"/>
      <c r="CK205" s="14"/>
      <c r="CL205" s="14"/>
      <c r="CM205" s="14"/>
      <c r="CN205" s="14"/>
      <c r="CO205" s="14"/>
      <c r="CP205" s="14"/>
    </row>
    <row r="206" spans="1:94" ht="12.75" customHeight="1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  <c r="AN206" s="16"/>
      <c r="AO206" s="14"/>
      <c r="AP206" s="14"/>
      <c r="AQ206" s="14"/>
      <c r="AR206" s="14"/>
      <c r="AS206" s="14"/>
      <c r="AT206" s="14"/>
      <c r="AU206" s="14"/>
      <c r="AV206" s="14"/>
      <c r="AW206" s="14"/>
      <c r="AX206" s="14"/>
      <c r="AY206" s="14"/>
      <c r="AZ206" s="14"/>
      <c r="BA206" s="14"/>
      <c r="BB206" s="14"/>
      <c r="BC206" s="14"/>
      <c r="BD206" s="14"/>
      <c r="BE206" s="14"/>
      <c r="BF206" s="14"/>
      <c r="BG206" s="14"/>
      <c r="BH206" s="14"/>
      <c r="BI206" s="14"/>
      <c r="BJ206" s="14"/>
      <c r="BK206" s="14"/>
      <c r="BL206" s="14"/>
      <c r="BM206" s="14"/>
      <c r="BN206" s="14"/>
      <c r="BO206" s="14"/>
      <c r="BP206" s="14"/>
      <c r="BQ206" s="14"/>
      <c r="BR206" s="14"/>
      <c r="BS206" s="14"/>
      <c r="BT206" s="14"/>
      <c r="BU206" s="14"/>
      <c r="BV206" s="14"/>
      <c r="BW206" s="14"/>
      <c r="BX206" s="14"/>
      <c r="BY206" s="14"/>
      <c r="BZ206" s="14"/>
      <c r="CA206" s="14"/>
      <c r="CB206" s="14"/>
      <c r="CC206" s="14"/>
      <c r="CD206" s="14"/>
      <c r="CE206" s="14"/>
      <c r="CF206" s="14"/>
      <c r="CG206" s="14"/>
      <c r="CH206" s="14"/>
      <c r="CI206" s="14"/>
      <c r="CJ206" s="14"/>
      <c r="CK206" s="14"/>
      <c r="CL206" s="14"/>
      <c r="CM206" s="14"/>
      <c r="CN206" s="14"/>
      <c r="CO206" s="14"/>
      <c r="CP206" s="14"/>
    </row>
    <row r="207" spans="1:94" ht="12.75" customHeight="1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6"/>
      <c r="AO207" s="14"/>
      <c r="AP207" s="14"/>
      <c r="AQ207" s="14"/>
      <c r="AR207" s="14"/>
      <c r="AS207" s="14"/>
      <c r="AT207" s="14"/>
      <c r="AU207" s="14"/>
      <c r="AV207" s="14"/>
      <c r="AW207" s="14"/>
      <c r="AX207" s="14"/>
      <c r="AY207" s="14"/>
      <c r="AZ207" s="14"/>
      <c r="BA207" s="14"/>
      <c r="BB207" s="14"/>
      <c r="BC207" s="14"/>
      <c r="BD207" s="14"/>
      <c r="BE207" s="14"/>
      <c r="BF207" s="14"/>
      <c r="BG207" s="14"/>
      <c r="BH207" s="14"/>
      <c r="BI207" s="14"/>
      <c r="BJ207" s="14"/>
      <c r="BK207" s="14"/>
      <c r="BL207" s="14"/>
      <c r="BM207" s="14"/>
      <c r="BN207" s="14"/>
      <c r="BO207" s="14"/>
      <c r="BP207" s="14"/>
      <c r="BQ207" s="14"/>
      <c r="BR207" s="14"/>
      <c r="BS207" s="14"/>
      <c r="BT207" s="14"/>
      <c r="BU207" s="14"/>
      <c r="BV207" s="14"/>
      <c r="BW207" s="14"/>
      <c r="BX207" s="14"/>
      <c r="BY207" s="14"/>
      <c r="BZ207" s="14"/>
      <c r="CA207" s="14"/>
      <c r="CB207" s="14"/>
      <c r="CC207" s="14"/>
      <c r="CD207" s="14"/>
      <c r="CE207" s="14"/>
      <c r="CF207" s="14"/>
      <c r="CG207" s="14"/>
      <c r="CH207" s="14"/>
      <c r="CI207" s="14"/>
      <c r="CJ207" s="14"/>
      <c r="CK207" s="14"/>
      <c r="CL207" s="14"/>
      <c r="CM207" s="14"/>
      <c r="CN207" s="14"/>
      <c r="CO207" s="14"/>
      <c r="CP207" s="14"/>
    </row>
    <row r="208" spans="1:94" ht="12.75" customHeight="1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6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  <c r="AY208" s="14"/>
      <c r="AZ208" s="14"/>
      <c r="BA208" s="14"/>
      <c r="BB208" s="14"/>
      <c r="BC208" s="14"/>
      <c r="BD208" s="14"/>
      <c r="BE208" s="14"/>
      <c r="BF208" s="14"/>
      <c r="BG208" s="14"/>
      <c r="BH208" s="14"/>
      <c r="BI208" s="14"/>
      <c r="BJ208" s="14"/>
      <c r="BK208" s="14"/>
      <c r="BL208" s="14"/>
      <c r="BM208" s="14"/>
      <c r="BN208" s="14"/>
      <c r="BO208" s="14"/>
      <c r="BP208" s="14"/>
      <c r="BQ208" s="14"/>
      <c r="BR208" s="14"/>
      <c r="BS208" s="14"/>
      <c r="BT208" s="14"/>
      <c r="BU208" s="14"/>
      <c r="BV208" s="14"/>
      <c r="BW208" s="14"/>
      <c r="BX208" s="14"/>
      <c r="BY208" s="14"/>
      <c r="BZ208" s="14"/>
      <c r="CA208" s="14"/>
      <c r="CB208" s="14"/>
      <c r="CC208" s="14"/>
      <c r="CD208" s="14"/>
      <c r="CE208" s="14"/>
      <c r="CF208" s="14"/>
      <c r="CG208" s="14"/>
      <c r="CH208" s="14"/>
      <c r="CI208" s="14"/>
      <c r="CJ208" s="14"/>
      <c r="CK208" s="14"/>
      <c r="CL208" s="14"/>
      <c r="CM208" s="14"/>
      <c r="CN208" s="14"/>
      <c r="CO208" s="14"/>
      <c r="CP208" s="14"/>
    </row>
    <row r="209" spans="1:94" ht="12.75" customHeight="1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14"/>
      <c r="AI209" s="14"/>
      <c r="AJ209" s="14"/>
      <c r="AK209" s="14"/>
      <c r="AL209" s="14"/>
      <c r="AM209" s="14"/>
      <c r="AN209" s="16"/>
      <c r="AO209" s="14"/>
      <c r="AP209" s="14"/>
      <c r="AQ209" s="14"/>
      <c r="AR209" s="14"/>
      <c r="AS209" s="14"/>
      <c r="AT209" s="14"/>
      <c r="AU209" s="14"/>
      <c r="AV209" s="14"/>
      <c r="AW209" s="14"/>
      <c r="AX209" s="14"/>
      <c r="AY209" s="14"/>
      <c r="AZ209" s="14"/>
      <c r="BA209" s="14"/>
      <c r="BB209" s="14"/>
      <c r="BC209" s="14"/>
      <c r="BD209" s="14"/>
      <c r="BE209" s="14"/>
      <c r="BF209" s="14"/>
      <c r="BG209" s="14"/>
      <c r="BH209" s="14"/>
      <c r="BI209" s="14"/>
      <c r="BJ209" s="14"/>
      <c r="BK209" s="14"/>
      <c r="BL209" s="14"/>
      <c r="BM209" s="14"/>
      <c r="BN209" s="14"/>
      <c r="BO209" s="14"/>
      <c r="BP209" s="14"/>
      <c r="BQ209" s="14"/>
      <c r="BR209" s="14"/>
      <c r="BS209" s="14"/>
      <c r="BT209" s="14"/>
      <c r="BU209" s="14"/>
      <c r="BV209" s="14"/>
      <c r="BW209" s="14"/>
      <c r="BX209" s="14"/>
      <c r="BY209" s="14"/>
      <c r="BZ209" s="14"/>
      <c r="CA209" s="14"/>
      <c r="CB209" s="14"/>
      <c r="CC209" s="14"/>
      <c r="CD209" s="14"/>
      <c r="CE209" s="14"/>
      <c r="CF209" s="14"/>
      <c r="CG209" s="14"/>
      <c r="CH209" s="14"/>
      <c r="CI209" s="14"/>
      <c r="CJ209" s="14"/>
      <c r="CK209" s="14"/>
      <c r="CL209" s="14"/>
      <c r="CM209" s="14"/>
      <c r="CN209" s="14"/>
      <c r="CO209" s="14"/>
      <c r="CP209" s="14"/>
    </row>
    <row r="210" spans="1:94" ht="12.75" customHeight="1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  <c r="AN210" s="16"/>
      <c r="AO210" s="14"/>
      <c r="AP210" s="14"/>
      <c r="AQ210" s="14"/>
      <c r="AR210" s="14"/>
      <c r="AS210" s="14"/>
      <c r="AT210" s="14"/>
      <c r="AU210" s="14"/>
      <c r="AV210" s="14"/>
      <c r="AW210" s="14"/>
      <c r="AX210" s="14"/>
      <c r="AY210" s="14"/>
      <c r="AZ210" s="14"/>
      <c r="BA210" s="14"/>
      <c r="BB210" s="14"/>
      <c r="BC210" s="14"/>
      <c r="BD210" s="14"/>
      <c r="BE210" s="14"/>
      <c r="BF210" s="14"/>
      <c r="BG210" s="14"/>
      <c r="BH210" s="14"/>
      <c r="BI210" s="14"/>
      <c r="BJ210" s="14"/>
      <c r="BK210" s="14"/>
      <c r="BL210" s="14"/>
      <c r="BM210" s="14"/>
      <c r="BN210" s="14"/>
      <c r="BO210" s="14"/>
      <c r="BP210" s="14"/>
      <c r="BQ210" s="14"/>
      <c r="BR210" s="14"/>
      <c r="BS210" s="14"/>
      <c r="BT210" s="14"/>
      <c r="BU210" s="14"/>
      <c r="BV210" s="14"/>
      <c r="BW210" s="14"/>
      <c r="BX210" s="14"/>
      <c r="BY210" s="14"/>
      <c r="BZ210" s="14"/>
      <c r="CA210" s="14"/>
      <c r="CB210" s="14"/>
      <c r="CC210" s="14"/>
      <c r="CD210" s="14"/>
      <c r="CE210" s="14"/>
      <c r="CF210" s="14"/>
      <c r="CG210" s="14"/>
      <c r="CH210" s="14"/>
      <c r="CI210" s="14"/>
      <c r="CJ210" s="14"/>
      <c r="CK210" s="14"/>
      <c r="CL210" s="14"/>
      <c r="CM210" s="14"/>
      <c r="CN210" s="14"/>
      <c r="CO210" s="14"/>
      <c r="CP210" s="14"/>
    </row>
    <row r="211" spans="1:94" ht="12.75" customHeight="1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  <c r="AK211" s="14"/>
      <c r="AL211" s="14"/>
      <c r="AM211" s="14"/>
      <c r="AN211" s="16"/>
      <c r="AO211" s="14"/>
      <c r="AP211" s="14"/>
      <c r="AQ211" s="14"/>
      <c r="AR211" s="14"/>
      <c r="AS211" s="14"/>
      <c r="AT211" s="14"/>
      <c r="AU211" s="14"/>
      <c r="AV211" s="14"/>
      <c r="AW211" s="14"/>
      <c r="AX211" s="14"/>
      <c r="AY211" s="14"/>
      <c r="AZ211" s="14"/>
      <c r="BA211" s="14"/>
      <c r="BB211" s="14"/>
      <c r="BC211" s="14"/>
      <c r="BD211" s="14"/>
      <c r="BE211" s="14"/>
      <c r="BF211" s="14"/>
      <c r="BG211" s="14"/>
      <c r="BH211" s="14"/>
      <c r="BI211" s="14"/>
      <c r="BJ211" s="14"/>
      <c r="BK211" s="14"/>
      <c r="BL211" s="14"/>
      <c r="BM211" s="14"/>
      <c r="BN211" s="14"/>
      <c r="BO211" s="14"/>
      <c r="BP211" s="14"/>
      <c r="BQ211" s="14"/>
      <c r="BR211" s="14"/>
      <c r="BS211" s="14"/>
      <c r="BT211" s="14"/>
      <c r="BU211" s="14"/>
      <c r="BV211" s="14"/>
      <c r="BW211" s="14"/>
      <c r="BX211" s="14"/>
      <c r="BY211" s="14"/>
      <c r="BZ211" s="14"/>
      <c r="CA211" s="14"/>
      <c r="CB211" s="14"/>
      <c r="CC211" s="14"/>
      <c r="CD211" s="14"/>
      <c r="CE211" s="14"/>
      <c r="CF211" s="14"/>
      <c r="CG211" s="14"/>
      <c r="CH211" s="14"/>
      <c r="CI211" s="14"/>
      <c r="CJ211" s="14"/>
      <c r="CK211" s="14"/>
      <c r="CL211" s="14"/>
      <c r="CM211" s="14"/>
      <c r="CN211" s="14"/>
      <c r="CO211" s="14"/>
      <c r="CP211" s="14"/>
    </row>
    <row r="212" spans="1:94" ht="12.75" customHeight="1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  <c r="AN212" s="16"/>
      <c r="AO212" s="14"/>
      <c r="AP212" s="14"/>
      <c r="AQ212" s="14"/>
      <c r="AR212" s="14"/>
      <c r="AS212" s="14"/>
      <c r="AT212" s="14"/>
      <c r="AU212" s="14"/>
      <c r="AV212" s="14"/>
      <c r="AW212" s="14"/>
      <c r="AX212" s="14"/>
      <c r="AY212" s="14"/>
      <c r="AZ212" s="14"/>
      <c r="BA212" s="14"/>
      <c r="BB212" s="14"/>
      <c r="BC212" s="14"/>
      <c r="BD212" s="14"/>
      <c r="BE212" s="14"/>
      <c r="BF212" s="14"/>
      <c r="BG212" s="14"/>
      <c r="BH212" s="14"/>
      <c r="BI212" s="14"/>
      <c r="BJ212" s="14"/>
      <c r="BK212" s="14"/>
      <c r="BL212" s="14"/>
      <c r="BM212" s="14"/>
      <c r="BN212" s="14"/>
      <c r="BO212" s="14"/>
      <c r="BP212" s="14"/>
      <c r="BQ212" s="14"/>
      <c r="BR212" s="14"/>
      <c r="BS212" s="14"/>
      <c r="BT212" s="14"/>
      <c r="BU212" s="14"/>
      <c r="BV212" s="14"/>
      <c r="BW212" s="14"/>
      <c r="BX212" s="14"/>
      <c r="BY212" s="14"/>
      <c r="BZ212" s="14"/>
      <c r="CA212" s="14"/>
      <c r="CB212" s="14"/>
      <c r="CC212" s="14"/>
      <c r="CD212" s="14"/>
      <c r="CE212" s="14"/>
      <c r="CF212" s="14"/>
      <c r="CG212" s="14"/>
      <c r="CH212" s="14"/>
      <c r="CI212" s="14"/>
      <c r="CJ212" s="14"/>
      <c r="CK212" s="14"/>
      <c r="CL212" s="14"/>
      <c r="CM212" s="14"/>
      <c r="CN212" s="14"/>
      <c r="CO212" s="14"/>
      <c r="CP212" s="14"/>
    </row>
    <row r="213" spans="1:94" ht="12.75" customHeight="1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  <c r="AM213" s="14"/>
      <c r="AN213" s="16"/>
      <c r="AO213" s="14"/>
      <c r="AP213" s="14"/>
      <c r="AQ213" s="14"/>
      <c r="AR213" s="14"/>
      <c r="AS213" s="14"/>
      <c r="AT213" s="14"/>
      <c r="AU213" s="14"/>
      <c r="AV213" s="14"/>
      <c r="AW213" s="14"/>
      <c r="AX213" s="14"/>
      <c r="AY213" s="14"/>
      <c r="AZ213" s="14"/>
      <c r="BA213" s="14"/>
      <c r="BB213" s="14"/>
      <c r="BC213" s="14"/>
      <c r="BD213" s="14"/>
      <c r="BE213" s="14"/>
      <c r="BF213" s="14"/>
      <c r="BG213" s="14"/>
      <c r="BH213" s="14"/>
      <c r="BI213" s="14"/>
      <c r="BJ213" s="14"/>
      <c r="BK213" s="14"/>
      <c r="BL213" s="14"/>
      <c r="BM213" s="14"/>
      <c r="BN213" s="14"/>
      <c r="BO213" s="14"/>
      <c r="BP213" s="14"/>
      <c r="BQ213" s="14"/>
      <c r="BR213" s="14"/>
      <c r="BS213" s="14"/>
      <c r="BT213" s="14"/>
      <c r="BU213" s="14"/>
      <c r="BV213" s="14"/>
      <c r="BW213" s="14"/>
      <c r="BX213" s="14"/>
      <c r="BY213" s="14"/>
      <c r="BZ213" s="14"/>
      <c r="CA213" s="14"/>
      <c r="CB213" s="14"/>
      <c r="CC213" s="14"/>
      <c r="CD213" s="14"/>
      <c r="CE213" s="14"/>
      <c r="CF213" s="14"/>
      <c r="CG213" s="14"/>
      <c r="CH213" s="14"/>
      <c r="CI213" s="14"/>
      <c r="CJ213" s="14"/>
      <c r="CK213" s="14"/>
      <c r="CL213" s="14"/>
      <c r="CM213" s="14"/>
      <c r="CN213" s="14"/>
      <c r="CO213" s="14"/>
      <c r="CP213" s="14"/>
    </row>
    <row r="214" spans="1:94" ht="12.75" customHeight="1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  <c r="AN214" s="16"/>
      <c r="AO214" s="14"/>
      <c r="AP214" s="14"/>
      <c r="AQ214" s="14"/>
      <c r="AR214" s="14"/>
      <c r="AS214" s="14"/>
      <c r="AT214" s="14"/>
      <c r="AU214" s="14"/>
      <c r="AV214" s="14"/>
      <c r="AW214" s="14"/>
      <c r="AX214" s="14"/>
      <c r="AY214" s="14"/>
      <c r="AZ214" s="14"/>
      <c r="BA214" s="14"/>
      <c r="BB214" s="14"/>
      <c r="BC214" s="14"/>
      <c r="BD214" s="14"/>
      <c r="BE214" s="14"/>
      <c r="BF214" s="14"/>
      <c r="BG214" s="14"/>
      <c r="BH214" s="14"/>
      <c r="BI214" s="14"/>
      <c r="BJ214" s="14"/>
      <c r="BK214" s="14"/>
      <c r="BL214" s="14"/>
      <c r="BM214" s="14"/>
      <c r="BN214" s="14"/>
      <c r="BO214" s="14"/>
      <c r="BP214" s="14"/>
      <c r="BQ214" s="14"/>
      <c r="BR214" s="14"/>
      <c r="BS214" s="14"/>
      <c r="BT214" s="14"/>
      <c r="BU214" s="14"/>
      <c r="BV214" s="14"/>
      <c r="BW214" s="14"/>
      <c r="BX214" s="14"/>
      <c r="BY214" s="14"/>
      <c r="BZ214" s="14"/>
      <c r="CA214" s="14"/>
      <c r="CB214" s="14"/>
      <c r="CC214" s="14"/>
      <c r="CD214" s="14"/>
      <c r="CE214" s="14"/>
      <c r="CF214" s="14"/>
      <c r="CG214" s="14"/>
      <c r="CH214" s="14"/>
      <c r="CI214" s="14"/>
      <c r="CJ214" s="14"/>
      <c r="CK214" s="14"/>
      <c r="CL214" s="14"/>
      <c r="CM214" s="14"/>
      <c r="CN214" s="14"/>
      <c r="CO214" s="14"/>
      <c r="CP214" s="14"/>
    </row>
    <row r="215" spans="1:94" ht="12.75" customHeight="1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  <c r="AG215" s="14"/>
      <c r="AH215" s="14"/>
      <c r="AI215" s="14"/>
      <c r="AJ215" s="14"/>
      <c r="AK215" s="14"/>
      <c r="AL215" s="14"/>
      <c r="AM215" s="14"/>
      <c r="AN215" s="16"/>
      <c r="AO215" s="14"/>
      <c r="AP215" s="14"/>
      <c r="AQ215" s="14"/>
      <c r="AR215" s="14"/>
      <c r="AS215" s="14"/>
      <c r="AT215" s="14"/>
      <c r="AU215" s="14"/>
      <c r="AV215" s="14"/>
      <c r="AW215" s="14"/>
      <c r="AX215" s="14"/>
      <c r="AY215" s="14"/>
      <c r="AZ215" s="14"/>
      <c r="BA215" s="14"/>
      <c r="BB215" s="14"/>
      <c r="BC215" s="14"/>
      <c r="BD215" s="14"/>
      <c r="BE215" s="14"/>
      <c r="BF215" s="14"/>
      <c r="BG215" s="14"/>
      <c r="BH215" s="14"/>
      <c r="BI215" s="14"/>
      <c r="BJ215" s="14"/>
      <c r="BK215" s="14"/>
      <c r="BL215" s="14"/>
      <c r="BM215" s="14"/>
      <c r="BN215" s="14"/>
      <c r="BO215" s="14"/>
      <c r="BP215" s="14"/>
      <c r="BQ215" s="14"/>
      <c r="BR215" s="14"/>
      <c r="BS215" s="14"/>
      <c r="BT215" s="14"/>
      <c r="BU215" s="14"/>
      <c r="BV215" s="14"/>
      <c r="BW215" s="14"/>
      <c r="BX215" s="14"/>
      <c r="BY215" s="14"/>
      <c r="BZ215" s="14"/>
      <c r="CA215" s="14"/>
      <c r="CB215" s="14"/>
      <c r="CC215" s="14"/>
      <c r="CD215" s="14"/>
      <c r="CE215" s="14"/>
      <c r="CF215" s="14"/>
      <c r="CG215" s="14"/>
      <c r="CH215" s="14"/>
      <c r="CI215" s="14"/>
      <c r="CJ215" s="14"/>
      <c r="CK215" s="14"/>
      <c r="CL215" s="14"/>
      <c r="CM215" s="14"/>
      <c r="CN215" s="14"/>
      <c r="CO215" s="14"/>
      <c r="CP215" s="14"/>
    </row>
  </sheetData>
  <mergeCells count="53">
    <mergeCell ref="A6:AA6"/>
    <mergeCell ref="BP11:BP12"/>
    <mergeCell ref="BQ11:BQ12"/>
    <mergeCell ref="BR11:BR12"/>
    <mergeCell ref="BS11:BS12"/>
    <mergeCell ref="BK11:BK12"/>
    <mergeCell ref="BL11:BL12"/>
    <mergeCell ref="BM11:BM12"/>
    <mergeCell ref="BN11:BN12"/>
    <mergeCell ref="BO11:BO12"/>
    <mergeCell ref="BJ11:BJ12"/>
    <mergeCell ref="AY11:BB11"/>
    <mergeCell ref="BC11:BF11"/>
    <mergeCell ref="BG11:BG12"/>
    <mergeCell ref="BH11:BH12"/>
    <mergeCell ref="BI11:BI12"/>
    <mergeCell ref="AM11:AM12"/>
    <mergeCell ref="AV11:AV12"/>
    <mergeCell ref="AW11:AW12"/>
    <mergeCell ref="AX11:AX12"/>
    <mergeCell ref="AN11:AQ11"/>
    <mergeCell ref="AR11:AU11"/>
    <mergeCell ref="AB11:AB12"/>
    <mergeCell ref="AC11:AF11"/>
    <mergeCell ref="AG11:AJ11"/>
    <mergeCell ref="AK11:AK12"/>
    <mergeCell ref="AL11:AL12"/>
    <mergeCell ref="Q11:Q12"/>
    <mergeCell ref="R11:U11"/>
    <mergeCell ref="V11:Y11"/>
    <mergeCell ref="Z11:Z12"/>
    <mergeCell ref="AA11:AA12"/>
    <mergeCell ref="F11:F12"/>
    <mergeCell ref="G11:J11"/>
    <mergeCell ref="K11:N11"/>
    <mergeCell ref="O11:O12"/>
    <mergeCell ref="P11:P12"/>
    <mergeCell ref="A8:A12"/>
    <mergeCell ref="B8:B12"/>
    <mergeCell ref="C8:C12"/>
    <mergeCell ref="D8:BS8"/>
    <mergeCell ref="D9:BF9"/>
    <mergeCell ref="BG9:BI10"/>
    <mergeCell ref="BJ9:BM10"/>
    <mergeCell ref="BN9:BP10"/>
    <mergeCell ref="BQ9:BS10"/>
    <mergeCell ref="D10:N10"/>
    <mergeCell ref="O10:Y10"/>
    <mergeCell ref="Z10:AJ10"/>
    <mergeCell ref="AK10:AU10"/>
    <mergeCell ref="AV10:BF10"/>
    <mergeCell ref="D11:D12"/>
    <mergeCell ref="E11:E12"/>
  </mergeCells>
  <pageMargins left="0.19685039370078741" right="0.19685039370078741" top="0.19685039370078741" bottom="0.19685039370078741" header="0.51181102362204722" footer="0.51181102362204722"/>
  <pageSetup paperSize="9" scale="66" fitToWidth="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"/>
  <sheetViews>
    <sheetView workbookViewId="0"/>
  </sheetViews>
  <sheetFormatPr defaultColWidth="8.85546875" defaultRowHeight="12.75" customHeight="1"/>
  <cols>
    <col min="1" max="1" width="9.140625" customWidth="1"/>
    <col min="2" max="2" width="35.85546875" customWidth="1"/>
    <col min="3" max="6" width="15.42578125" customWidth="1"/>
    <col min="7" max="7" width="12.7109375" customWidth="1"/>
  </cols>
  <sheetData>
    <row r="1" spans="1:7" ht="15">
      <c r="A1" s="3"/>
      <c r="B1" s="3"/>
      <c r="C1" s="3"/>
      <c r="D1" s="3"/>
      <c r="E1" s="3"/>
      <c r="F1" s="3"/>
      <c r="G1" s="3"/>
    </row>
    <row r="2" spans="1:7" ht="15" customHeight="1">
      <c r="A2" s="46" t="s">
        <v>0</v>
      </c>
      <c r="B2" s="46" t="s">
        <v>25</v>
      </c>
      <c r="C2" s="46" t="s">
        <v>26</v>
      </c>
      <c r="D2" s="46" t="s">
        <v>21</v>
      </c>
      <c r="E2" s="46"/>
      <c r="F2" s="46"/>
      <c r="G2" s="46" t="s">
        <v>27</v>
      </c>
    </row>
    <row r="3" spans="1:7" ht="15">
      <c r="A3" s="46"/>
      <c r="B3" s="46"/>
      <c r="C3" s="46"/>
      <c r="D3" s="4" t="s">
        <v>22</v>
      </c>
      <c r="E3" s="4" t="s">
        <v>23</v>
      </c>
      <c r="F3" s="4" t="s">
        <v>24</v>
      </c>
      <c r="G3" s="46"/>
    </row>
    <row r="4" spans="1:7" ht="15" customHeight="1">
      <c r="A4" s="2" t="str">
        <f>"1"</f>
        <v>1</v>
      </c>
      <c r="B4" s="1" t="s">
        <v>31</v>
      </c>
      <c r="C4" s="5">
        <v>148</v>
      </c>
      <c r="D4" s="5">
        <v>143</v>
      </c>
      <c r="E4" s="5">
        <v>5</v>
      </c>
      <c r="F4" s="5">
        <v>0</v>
      </c>
      <c r="G4" s="6">
        <v>96.6216216216216</v>
      </c>
    </row>
    <row r="5" spans="1:7" ht="18" customHeight="1">
      <c r="A5" s="47" t="s">
        <v>28</v>
      </c>
      <c r="B5" s="48"/>
      <c r="C5" s="7">
        <v>148</v>
      </c>
      <c r="D5" s="7">
        <v>143</v>
      </c>
      <c r="E5" s="7">
        <v>5</v>
      </c>
      <c r="F5" s="7">
        <v>0</v>
      </c>
      <c r="G5" s="8">
        <v>96.6216216216216</v>
      </c>
    </row>
  </sheetData>
  <mergeCells count="6">
    <mergeCell ref="G2:G3"/>
    <mergeCell ref="A5:B5"/>
    <mergeCell ref="A2:A3"/>
    <mergeCell ref="B2:B3"/>
    <mergeCell ref="C2:C3"/>
    <mergeCell ref="D2:F2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Essential XlsIO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Список</vt:lpstr>
      <vt:lpstr>Свод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Изварин Антон</dc:creator>
  <cp:lastModifiedBy>Машбюро</cp:lastModifiedBy>
  <cp:lastPrinted>2015-12-29T07:57:46Z</cp:lastPrinted>
  <dcterms:created xsi:type="dcterms:W3CDTF">2013-10-22T13:48:50Z</dcterms:created>
  <dcterms:modified xsi:type="dcterms:W3CDTF">2015-12-29T08:01:03Z</dcterms:modified>
</cp:coreProperties>
</file>